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itchdeck-website\samples\flagship\model\"/>
    </mc:Choice>
  </mc:AlternateContent>
  <bookViews>
    <workbookView xWindow="0" yWindow="0" windowWidth="12840" windowHeight="14310"/>
  </bookViews>
  <sheets>
    <sheet name="README" sheetId="1" r:id="rId1"/>
    <sheet name="Assumptions" sheetId="2" r:id="rId2"/>
    <sheet name="Monthly" sheetId="3" r:id="rId3"/>
    <sheet name="Annual P&amp;L" sheetId="4" r:id="rId4"/>
    <sheet name="Cash Flow" sheetId="5" r:id="rId5"/>
    <sheet name="Balance Sheet" sheetId="6" r:id="rId6"/>
    <sheet name="Unit Economics" sheetId="7" r:id="rId7"/>
    <sheet name="Sensitivity" sheetId="8" r:id="rId8"/>
    <sheet name="Checks" sheetId="9" r:id="rId9"/>
  </sheets>
  <definedNames>
    <definedName name="a_amt">Assumptions!$B$15</definedName>
    <definedName name="a_month">Assumptions!$B$16</definedName>
    <definedName name="a_on">Assumptions!$B$17</definedName>
    <definedName name="ag_open_book">Assumptions!$B$20</definedName>
    <definedName name="ap_days">Assumptions!$B$82</definedName>
    <definedName name="ap_open">Assumptions!$B$9</definedName>
    <definedName name="ar_days">Assumptions!$B$81</definedName>
    <definedName name="ar_open">Assumptions!$B$8</definedName>
    <definedName name="cac_year">Assumptions!$B$93</definedName>
    <definedName name="capex_per_hire">Assumptions!$B$83</definedName>
    <definedName name="cash_open">Assumptions!$B$7</definedName>
    <definedName name="cg_growth">Assumptions!$B$24</definedName>
    <definedName name="cg_open_book">Assumptions!$B$21</definedName>
    <definedName name="cg_per_new">Assumptions!$B$25</definedName>
    <definedName name="channel_base">Assumptions!$B$41</definedName>
    <definedName name="channel_slope">Assumptions!$B$42</definedName>
    <definedName name="channel_start">Assumptions!$B$40</definedName>
    <definedName name="churn">Assumptions!$B$23</definedName>
    <definedName name="closes_per_ae">Assumptions!$B$27</definedName>
    <definedName name="deficit_open">Assumptions!$B$11</definedName>
    <definedName name="dep_months">Assumptions!$B$84</definedName>
    <definedName name="exit_high">Assumptions!$B$107</definedName>
    <definedName name="exit_low">Assumptions!$B$105</definedName>
    <definedName name="exit_mid">Assumptions!$B$106</definedName>
    <definedName name="exit_stake">Assumptions!$B$108</definedName>
    <definedName name="fact_boomer_age">Assumptions!$B$132</definedName>
    <definedName name="fact_boomer_year">Assumptions!$B$131</definedName>
    <definedName name="fact_evv_hh_year">Assumptions!$B$130</definedName>
    <definedName name="fact_turnover">Assumptions!$B$128</definedName>
    <definedName name="fact_turnover_year">Assumptions!$B$129</definedName>
    <definedName name="fee_price">Assumptions!$B$46</definedName>
    <definedName name="fee_step">Assumptions!$B$47</definedName>
    <definedName name="fill_cap">Assumptions!$B$52</definedName>
    <definedName name="fill_start">Assumptions!$B$50</definedName>
    <definedName name="fill_step">Assumptions!$B$51</definedName>
    <definedName name="founder_end1">Assumptions!$B$33</definedName>
    <definedName name="founder_end2">Assumptions!$B$35</definedName>
    <definedName name="founder_end3">Assumptions!$B$37</definedName>
    <definedName name="founder_r1">Assumptions!$B$32</definedName>
    <definedName name="founder_r2">Assumptions!$B$34</definedName>
    <definedName name="founder_r3">Assumptions!$B$36</definedName>
    <definedName name="ga_fixed">Assumptions!$B$73</definedName>
    <definedName name="gate_ag">Assumptions!$B$90</definedName>
    <definedName name="gate_arr">Assumptions!$B$89</definedName>
    <definedName name="hire_func">Assumptions!$I$5:$I$109</definedName>
    <definedName name="hire_qstart">Assumptions!$M$5:$M$109</definedName>
    <definedName name="hire_region">Assumptions!$K$5:$K$109</definedName>
    <definedName name="hire_start">Assumptions!$J$5:$J$109</definedName>
    <definedName name="hire_weight">Assumptions!$L$5:$L$109</definedName>
    <definedName name="hosting_cg">Assumptions!$B$57</definedName>
    <definedName name="inbound_base">Assumptions!$B$38</definedName>
    <definedName name="inbound_slope">Assumptions!$B$39</definedName>
    <definedName name="interest_rate">Assumptions!$B$18</definedName>
    <definedName name="launch_eu">Assumptions!$B$31</definedName>
    <definedName name="launch_uk">Assumptions!$B$30</definedName>
    <definedName name="launch_us">Assumptions!$B$29</definedName>
    <definedName name="ltv_months">Assumptions!$B$94</definedName>
    <definedName name="mkt_band_max">Assumptions!$B$101</definedName>
    <definedName name="mkt_band_min">Assumptions!$B$100</definedName>
    <definedName name="mkt_cg">Assumptions!$B$99</definedName>
    <definedName name="mkt_eu">Assumptions!$B$98</definedName>
    <definedName name="mkt_fixed">Assumptions!$B$71</definedName>
    <definedName name="mkt_per_new">Assumptions!$B$70</definedName>
    <definedName name="mkt_uk">Assumptions!$B$97</definedName>
    <definedName name="mkt_us">Assumptions!$B$96</definedName>
    <definedName name="mkt_us_count_high">Assumptions!$B$103</definedName>
    <definedName name="mkt_us_count_low">Assumptions!$B$102</definedName>
    <definedName name="msg_shift">Assumptions!$B$58</definedName>
    <definedName name="nol_cap_pct">Assumptions!$B$86</definedName>
    <definedName name="nol_open">Assumptions!$B$87</definedName>
    <definedName name="onb_fee">Assumptions!$B$53</definedName>
    <definedName name="onb_rate_step">Assumptions!$B$55</definedName>
    <definedName name="onb_rate0">Assumptions!$B$54</definedName>
    <definedName name="oncost_pct">Assumptions!$B$68</definedName>
    <definedName name="open_rate">Assumptions!$B$49</definedName>
    <definedName name="pa_cg">Assumptions!$B$110</definedName>
    <definedName name="pa_cov">Assumptions!$B$113</definedName>
    <definedName name="pa_hours">Assumptions!$B$112</definedName>
    <definedName name="pa_rate">Assumptions!$B$111</definedName>
    <definedName name="paidin_open">Assumptions!$B$10</definedName>
    <definedName name="pay_proc_pct">Assumptions!$B$59</definedName>
    <definedName name="per_head_cost">Assumptions!$B$72</definedName>
    <definedName name="pilot_cov_after">Assumptions!$B$118</definedName>
    <definedName name="pilot_cov_before">Assumptions!$B$117</definedName>
    <definedName name="pilot_drop_after">Assumptions!$B$122</definedName>
    <definedName name="pilot_drop_before">Assumptions!$B$121</definedName>
    <definedName name="pilot_fill_after">Assumptions!$B$120</definedName>
    <definedName name="pilot_fill_before">Assumptions!$B$119</definedName>
    <definedName name="pilot_golive">Assumptions!$B$125</definedName>
    <definedName name="pilot_lost">Assumptions!$B$126</definedName>
    <definedName name="pilot_months">Assumptions!$B$115</definedName>
    <definedName name="pilot_sched_after">Assumptions!$B$124</definedName>
    <definedName name="pilot_sched_before">Assumptions!$B$123</definedName>
    <definedName name="pilot_states">Assumptions!$B$116</definedName>
    <definedName name="preseed_amt">Assumptions!$B$12</definedName>
    <definedName name="process_lead">Assumptions!$B$91</definedName>
    <definedName name="raise_pct">Assumptions!$B$67</definedName>
    <definedName name="ramp_months">Assumptions!$B$28</definedName>
    <definedName name="sal_cs">Assumptions!$B$65</definedName>
    <definedName name="sal_eng">Assumptions!$B$62</definedName>
    <definedName name="sal_ga">Assumptions!$B$66</definedName>
    <definedName name="sal_mkt">Assumptions!$B$64</definedName>
    <definedName name="sal_sales">Assumptions!$B$63</definedName>
    <definedName name="sec_monthly">Assumptions!$B$74</definedName>
    <definedName name="sec_start">Assumptions!$B$75</definedName>
    <definedName name="seed_amt">Assumptions!$B$13</definedName>
    <definedName name="seed_month">Assumptions!$B$14</definedName>
    <definedName name="shifts_per_cg">Assumptions!$B$48</definedName>
    <definedName name="soc1_cost">Assumptions!$B$76</definedName>
    <definedName name="soc1_month">Assumptions!$B$77</definedName>
    <definedName name="soc2_cost">Assumptions!$B$78</definedName>
    <definedName name="soc2_month">Assumptions!$B$79</definedName>
    <definedName name="start_year">Assumptions!$B$6</definedName>
    <definedName name="sub_price">Assumptions!$B$44</definedName>
    <definedName name="sub_price_step">Assumptions!$B$45</definedName>
    <definedName name="support_ag">Assumptions!$B$60</definedName>
    <definedName name="tax_rate">Assumptions!$B$85</definedName>
    <definedName name="ue_month">Assumptions!$B$92</definedName>
  </definedNames>
  <calcPr calcId="162913"/>
</workbook>
</file>

<file path=xl/calcChain.xml><?xml version="1.0" encoding="utf-8"?>
<calcChain xmlns="http://schemas.openxmlformats.org/spreadsheetml/2006/main">
  <c r="B45" i="7" l="1"/>
  <c r="B46" i="7" s="1"/>
  <c r="B27" i="7"/>
  <c r="B21" i="7"/>
  <c r="I9" i="7"/>
  <c r="I8" i="7"/>
  <c r="I7" i="7"/>
  <c r="I6" i="7"/>
  <c r="I5" i="7"/>
  <c r="D20" i="6"/>
  <c r="BN20" i="6" s="1"/>
  <c r="D19" i="6"/>
  <c r="BN19" i="6" s="1"/>
  <c r="D13" i="6"/>
  <c r="BN13" i="6" s="1"/>
  <c r="BN12" i="6"/>
  <c r="BN11" i="6"/>
  <c r="D5" i="6"/>
  <c r="BS4" i="6"/>
  <c r="BR4" i="6"/>
  <c r="BQ4" i="6"/>
  <c r="BP4" i="6"/>
  <c r="BO4" i="6"/>
  <c r="BN4" i="6"/>
  <c r="D36" i="5"/>
  <c r="D23" i="5"/>
  <c r="E22" i="5" s="1"/>
  <c r="D5" i="5"/>
  <c r="BR4" i="5"/>
  <c r="BQ4" i="5"/>
  <c r="BP4" i="5"/>
  <c r="BO4" i="5"/>
  <c r="BN4" i="5"/>
  <c r="G4" i="4"/>
  <c r="F4" i="4"/>
  <c r="E4" i="4"/>
  <c r="D4" i="4"/>
  <c r="C4" i="4"/>
  <c r="D91" i="3"/>
  <c r="D25" i="5" s="1"/>
  <c r="D89" i="3"/>
  <c r="D9" i="6" s="1"/>
  <c r="D87" i="3"/>
  <c r="D16" i="6" s="1"/>
  <c r="D86" i="3"/>
  <c r="D10" i="6" s="1"/>
  <c r="D82" i="3"/>
  <c r="E78" i="3"/>
  <c r="BL69" i="3"/>
  <c r="BK69" i="3"/>
  <c r="BJ69" i="3"/>
  <c r="BI69" i="3"/>
  <c r="BH69" i="3"/>
  <c r="BG69" i="3"/>
  <c r="BF69" i="3"/>
  <c r="BE69" i="3"/>
  <c r="BD69" i="3"/>
  <c r="BC69" i="3"/>
  <c r="BB69" i="3"/>
  <c r="BA69" i="3"/>
  <c r="AZ69" i="3"/>
  <c r="AY69" i="3"/>
  <c r="AX69" i="3"/>
  <c r="AW69" i="3"/>
  <c r="AV69" i="3"/>
  <c r="AU69" i="3"/>
  <c r="AT69" i="3"/>
  <c r="AS69" i="3"/>
  <c r="AR69" i="3"/>
  <c r="AQ69" i="3"/>
  <c r="AP69" i="3"/>
  <c r="AO69" i="3"/>
  <c r="AN69" i="3"/>
  <c r="AM69" i="3"/>
  <c r="AL69" i="3"/>
  <c r="AK69" i="3"/>
  <c r="AJ69" i="3"/>
  <c r="AI69" i="3"/>
  <c r="AH69" i="3"/>
  <c r="AG69" i="3"/>
  <c r="AF69" i="3"/>
  <c r="AE69" i="3"/>
  <c r="AD69" i="3"/>
  <c r="AC69" i="3"/>
  <c r="AB69" i="3"/>
  <c r="AA69" i="3"/>
  <c r="Z69" i="3"/>
  <c r="Y69" i="3"/>
  <c r="X69" i="3"/>
  <c r="W69" i="3"/>
  <c r="V69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42" i="3"/>
  <c r="E52" i="3" s="1"/>
  <c r="D37" i="3"/>
  <c r="D40" i="3" s="1"/>
  <c r="E29" i="3"/>
  <c r="E22" i="3"/>
  <c r="D22" i="3"/>
  <c r="E21" i="3"/>
  <c r="D21" i="3"/>
  <c r="E20" i="3"/>
  <c r="D20" i="3"/>
  <c r="D19" i="3"/>
  <c r="D18" i="3"/>
  <c r="D10" i="3"/>
  <c r="D9" i="3"/>
  <c r="D6" i="3"/>
  <c r="E5" i="3"/>
  <c r="E24" i="3" s="1"/>
  <c r="E75" i="3" s="1"/>
  <c r="E4" i="3"/>
  <c r="D4" i="3"/>
  <c r="N109" i="2"/>
  <c r="M109" i="2"/>
  <c r="N108" i="2"/>
  <c r="M108" i="2"/>
  <c r="N107" i="2"/>
  <c r="M107" i="2"/>
  <c r="N106" i="2"/>
  <c r="M106" i="2"/>
  <c r="N105" i="2"/>
  <c r="M105" i="2"/>
  <c r="N104" i="2"/>
  <c r="M104" i="2"/>
  <c r="N103" i="2"/>
  <c r="M103" i="2"/>
  <c r="N102" i="2"/>
  <c r="M102" i="2"/>
  <c r="N101" i="2"/>
  <c r="M101" i="2"/>
  <c r="N100" i="2"/>
  <c r="M100" i="2"/>
  <c r="N99" i="2"/>
  <c r="M99" i="2"/>
  <c r="N98" i="2"/>
  <c r="M98" i="2"/>
  <c r="N97" i="2"/>
  <c r="M97" i="2"/>
  <c r="N96" i="2"/>
  <c r="M96" i="2"/>
  <c r="N95" i="2"/>
  <c r="M95" i="2"/>
  <c r="N94" i="2"/>
  <c r="M94" i="2"/>
  <c r="N93" i="2"/>
  <c r="M93" i="2"/>
  <c r="N92" i="2"/>
  <c r="M92" i="2"/>
  <c r="N91" i="2"/>
  <c r="M91" i="2"/>
  <c r="N90" i="2"/>
  <c r="M90" i="2"/>
  <c r="N89" i="2"/>
  <c r="M89" i="2"/>
  <c r="N88" i="2"/>
  <c r="M88" i="2"/>
  <c r="N87" i="2"/>
  <c r="M87" i="2"/>
  <c r="N86" i="2"/>
  <c r="M86" i="2"/>
  <c r="N85" i="2"/>
  <c r="M85" i="2"/>
  <c r="N84" i="2"/>
  <c r="M84" i="2"/>
  <c r="N83" i="2"/>
  <c r="M83" i="2"/>
  <c r="N82" i="2"/>
  <c r="M82" i="2"/>
  <c r="N81" i="2"/>
  <c r="M81" i="2"/>
  <c r="N80" i="2"/>
  <c r="M80" i="2"/>
  <c r="N79" i="2"/>
  <c r="M79" i="2"/>
  <c r="N78" i="2"/>
  <c r="M78" i="2"/>
  <c r="N77" i="2"/>
  <c r="M77" i="2"/>
  <c r="N76" i="2"/>
  <c r="M76" i="2"/>
  <c r="N75" i="2"/>
  <c r="M75" i="2"/>
  <c r="N74" i="2"/>
  <c r="M74" i="2"/>
  <c r="N73" i="2"/>
  <c r="M73" i="2"/>
  <c r="N72" i="2"/>
  <c r="M72" i="2"/>
  <c r="N71" i="2"/>
  <c r="M71" i="2"/>
  <c r="N70" i="2"/>
  <c r="M70" i="2"/>
  <c r="N69" i="2"/>
  <c r="M69" i="2"/>
  <c r="N68" i="2"/>
  <c r="M68" i="2"/>
  <c r="N67" i="2"/>
  <c r="M67" i="2"/>
  <c r="N66" i="2"/>
  <c r="M66" i="2"/>
  <c r="N65" i="2"/>
  <c r="M65" i="2"/>
  <c r="N64" i="2"/>
  <c r="M64" i="2"/>
  <c r="N63" i="2"/>
  <c r="M63" i="2"/>
  <c r="N62" i="2"/>
  <c r="M62" i="2"/>
  <c r="N61" i="2"/>
  <c r="M61" i="2"/>
  <c r="N60" i="2"/>
  <c r="M60" i="2"/>
  <c r="N59" i="2"/>
  <c r="M59" i="2"/>
  <c r="N58" i="2"/>
  <c r="M58" i="2"/>
  <c r="N57" i="2"/>
  <c r="M57" i="2"/>
  <c r="N56" i="2"/>
  <c r="M56" i="2"/>
  <c r="N55" i="2"/>
  <c r="M55" i="2"/>
  <c r="N54" i="2"/>
  <c r="M54" i="2"/>
  <c r="N53" i="2"/>
  <c r="M53" i="2"/>
  <c r="N52" i="2"/>
  <c r="M52" i="2"/>
  <c r="N51" i="2"/>
  <c r="M51" i="2"/>
  <c r="N50" i="2"/>
  <c r="M50" i="2"/>
  <c r="N49" i="2"/>
  <c r="M49" i="2"/>
  <c r="N48" i="2"/>
  <c r="M48" i="2"/>
  <c r="N47" i="2"/>
  <c r="M47" i="2"/>
  <c r="N46" i="2"/>
  <c r="M46" i="2"/>
  <c r="N45" i="2"/>
  <c r="M45" i="2"/>
  <c r="N44" i="2"/>
  <c r="M44" i="2"/>
  <c r="N43" i="2"/>
  <c r="M43" i="2"/>
  <c r="N42" i="2"/>
  <c r="M42" i="2"/>
  <c r="N41" i="2"/>
  <c r="M41" i="2"/>
  <c r="N40" i="2"/>
  <c r="M40" i="2"/>
  <c r="N39" i="2"/>
  <c r="M39" i="2"/>
  <c r="N38" i="2"/>
  <c r="M38" i="2"/>
  <c r="N37" i="2"/>
  <c r="M37" i="2"/>
  <c r="N36" i="2"/>
  <c r="M36" i="2"/>
  <c r="N35" i="2"/>
  <c r="M35" i="2"/>
  <c r="N34" i="2"/>
  <c r="M34" i="2"/>
  <c r="N33" i="2"/>
  <c r="M33" i="2"/>
  <c r="N32" i="2"/>
  <c r="M32" i="2"/>
  <c r="N31" i="2"/>
  <c r="M31" i="2"/>
  <c r="N30" i="2"/>
  <c r="M30" i="2"/>
  <c r="N29" i="2"/>
  <c r="M29" i="2"/>
  <c r="N28" i="2"/>
  <c r="M28" i="2"/>
  <c r="N27" i="2"/>
  <c r="M27" i="2"/>
  <c r="N26" i="2"/>
  <c r="M26" i="2"/>
  <c r="N25" i="2"/>
  <c r="M25" i="2"/>
  <c r="N24" i="2"/>
  <c r="M24" i="2"/>
  <c r="N23" i="2"/>
  <c r="M23" i="2"/>
  <c r="N22" i="2"/>
  <c r="M22" i="2"/>
  <c r="N21" i="2"/>
  <c r="M21" i="2"/>
  <c r="N20" i="2"/>
  <c r="M20" i="2"/>
  <c r="N19" i="2"/>
  <c r="M19" i="2"/>
  <c r="N18" i="2"/>
  <c r="M18" i="2"/>
  <c r="N17" i="2"/>
  <c r="M17" i="2"/>
  <c r="N16" i="2"/>
  <c r="M16" i="2"/>
  <c r="N15" i="2"/>
  <c r="M15" i="2"/>
  <c r="N14" i="2"/>
  <c r="M14" i="2"/>
  <c r="N13" i="2"/>
  <c r="M13" i="2"/>
  <c r="N12" i="2"/>
  <c r="M12" i="2"/>
  <c r="N11" i="2"/>
  <c r="M11" i="2"/>
  <c r="N10" i="2"/>
  <c r="M10" i="2"/>
  <c r="N9" i="2"/>
  <c r="M9" i="2"/>
  <c r="N8" i="2"/>
  <c r="M8" i="2"/>
  <c r="N7" i="2"/>
  <c r="M7" i="2"/>
  <c r="N6" i="2"/>
  <c r="M6" i="2"/>
  <c r="N5" i="2"/>
  <c r="M5" i="2"/>
  <c r="B26" i="1"/>
  <c r="F5" i="3" l="1"/>
  <c r="F29" i="3" s="1"/>
  <c r="E30" i="3"/>
  <c r="D21" i="6"/>
  <c r="BN21" i="6" s="1"/>
  <c r="E6" i="3"/>
  <c r="E6" i="6" s="1"/>
  <c r="E10" i="3"/>
  <c r="E9" i="3"/>
  <c r="E13" i="3" s="1"/>
  <c r="G5" i="3"/>
  <c r="F5" i="5"/>
  <c r="F70" i="3"/>
  <c r="F95" i="3"/>
  <c r="F5" i="6"/>
  <c r="F31" i="3"/>
  <c r="F88" i="3"/>
  <c r="F18" i="5" s="1"/>
  <c r="F19" i="5" s="1"/>
  <c r="F18" i="3"/>
  <c r="F19" i="3"/>
  <c r="F6" i="3"/>
  <c r="F10" i="3"/>
  <c r="F27" i="3"/>
  <c r="F33" i="3" s="1"/>
  <c r="F28" i="3"/>
  <c r="F34" i="3" s="1"/>
  <c r="F22" i="3"/>
  <c r="F20" i="3"/>
  <c r="F4" i="3"/>
  <c r="F26" i="3"/>
  <c r="F9" i="3"/>
  <c r="F30" i="3"/>
  <c r="E27" i="3"/>
  <c r="E33" i="3" s="1"/>
  <c r="E38" i="3" s="1"/>
  <c r="F21" i="3"/>
  <c r="F56" i="3" s="1"/>
  <c r="D6" i="6"/>
  <c r="D6" i="5"/>
  <c r="D23" i="3"/>
  <c r="E26" i="3"/>
  <c r="E28" i="3"/>
  <c r="E34" i="3" s="1"/>
  <c r="E39" i="3" s="1"/>
  <c r="F39" i="3" s="1"/>
  <c r="E81" i="3"/>
  <c r="E62" i="3"/>
  <c r="D4" i="5"/>
  <c r="D4" i="6"/>
  <c r="E4" i="5"/>
  <c r="E4" i="6"/>
  <c r="E11" i="6"/>
  <c r="E15" i="5"/>
  <c r="E16" i="5" s="1"/>
  <c r="E82" i="3"/>
  <c r="E6" i="5"/>
  <c r="E19" i="3"/>
  <c r="E95" i="3"/>
  <c r="E5" i="5"/>
  <c r="E70" i="3"/>
  <c r="E88" i="3"/>
  <c r="E5" i="6"/>
  <c r="E31" i="3"/>
  <c r="E18" i="3"/>
  <c r="E55" i="3"/>
  <c r="E41" i="3"/>
  <c r="D43" i="3"/>
  <c r="BN16" i="6"/>
  <c r="D17" i="6"/>
  <c r="D22" i="6" s="1"/>
  <c r="BN22" i="6" s="1"/>
  <c r="BN22" i="5"/>
  <c r="D14" i="6"/>
  <c r="BN9" i="6"/>
  <c r="BN10" i="6"/>
  <c r="F32" i="3" l="1"/>
  <c r="E56" i="3"/>
  <c r="E32" i="3"/>
  <c r="E15" i="3"/>
  <c r="E48" i="3" s="1"/>
  <c r="BN17" i="6"/>
  <c r="F61" i="3"/>
  <c r="E14" i="3"/>
  <c r="E45" i="3" s="1"/>
  <c r="E61" i="3"/>
  <c r="E12" i="3"/>
  <c r="E46" i="3" s="1"/>
  <c r="F24" i="3"/>
  <c r="F75" i="3" s="1"/>
  <c r="F15" i="5" s="1"/>
  <c r="F16" i="5" s="1"/>
  <c r="E67" i="3"/>
  <c r="E53" i="3"/>
  <c r="E47" i="3"/>
  <c r="E49" i="3" s="1"/>
  <c r="F82" i="3"/>
  <c r="E16" i="3"/>
  <c r="B24" i="7" s="1"/>
  <c r="B28" i="7" s="1"/>
  <c r="F11" i="6"/>
  <c r="F38" i="3"/>
  <c r="F13" i="3"/>
  <c r="F14" i="3"/>
  <c r="F12" i="3"/>
  <c r="F15" i="3"/>
  <c r="F81" i="3"/>
  <c r="F35" i="3"/>
  <c r="F63" i="3" s="1"/>
  <c r="E37" i="3"/>
  <c r="E35" i="3"/>
  <c r="F4" i="6"/>
  <c r="F4" i="5"/>
  <c r="F6" i="5"/>
  <c r="F6" i="6"/>
  <c r="F65" i="3"/>
  <c r="F66" i="3" s="1"/>
  <c r="F23" i="3"/>
  <c r="F68" i="3" s="1"/>
  <c r="E65" i="3"/>
  <c r="E66" i="3" s="1"/>
  <c r="E23" i="3"/>
  <c r="E68" i="3" s="1"/>
  <c r="E19" i="6"/>
  <c r="E18" i="5"/>
  <c r="E19" i="5" s="1"/>
  <c r="F62" i="3"/>
  <c r="BN14" i="6"/>
  <c r="D24" i="6"/>
  <c r="F67" i="3"/>
  <c r="G70" i="3"/>
  <c r="G88" i="3"/>
  <c r="G18" i="5" s="1"/>
  <c r="G19" i="5" s="1"/>
  <c r="G95" i="3"/>
  <c r="G5" i="6"/>
  <c r="G5" i="5"/>
  <c r="G24" i="3"/>
  <c r="G75" i="3" s="1"/>
  <c r="G15" i="5" s="1"/>
  <c r="G16" i="5" s="1"/>
  <c r="G19" i="3"/>
  <c r="G26" i="3"/>
  <c r="G27" i="3"/>
  <c r="G33" i="3" s="1"/>
  <c r="G28" i="3"/>
  <c r="G34" i="3" s="1"/>
  <c r="G39" i="3" s="1"/>
  <c r="G30" i="3"/>
  <c r="G20" i="3"/>
  <c r="G9" i="3"/>
  <c r="G4" i="3"/>
  <c r="G10" i="3"/>
  <c r="G31" i="3"/>
  <c r="G6" i="3"/>
  <c r="G22" i="3"/>
  <c r="G18" i="3"/>
  <c r="H5" i="3"/>
  <c r="G29" i="3"/>
  <c r="G21" i="3"/>
  <c r="F71" i="3" l="1"/>
  <c r="F64" i="3"/>
  <c r="F72" i="3" s="1"/>
  <c r="E50" i="3"/>
  <c r="G32" i="3"/>
  <c r="E71" i="3"/>
  <c r="F16" i="3"/>
  <c r="G14" i="3"/>
  <c r="G13" i="3"/>
  <c r="G12" i="3"/>
  <c r="G15" i="3"/>
  <c r="F19" i="6"/>
  <c r="E63" i="3"/>
  <c r="E64" i="3" s="1"/>
  <c r="E42" i="3"/>
  <c r="E40" i="3"/>
  <c r="E92" i="3" s="1"/>
  <c r="F37" i="3"/>
  <c r="G82" i="3"/>
  <c r="H82" i="3" s="1"/>
  <c r="G81" i="3"/>
  <c r="G61" i="3"/>
  <c r="B31" i="7"/>
  <c r="B29" i="7"/>
  <c r="B30" i="7"/>
  <c r="G65" i="3"/>
  <c r="G66" i="3" s="1"/>
  <c r="G23" i="3"/>
  <c r="G68" i="3" s="1"/>
  <c r="G35" i="3"/>
  <c r="G63" i="3" s="1"/>
  <c r="G56" i="3"/>
  <c r="H70" i="3"/>
  <c r="H88" i="3"/>
  <c r="H5" i="5"/>
  <c r="H29" i="3"/>
  <c r="H95" i="3"/>
  <c r="H24" i="3"/>
  <c r="H75" i="3" s="1"/>
  <c r="H15" i="5" s="1"/>
  <c r="H16" i="5" s="1"/>
  <c r="H19" i="3"/>
  <c r="H6" i="3"/>
  <c r="H5" i="6"/>
  <c r="H20" i="3"/>
  <c r="H62" i="3" s="1"/>
  <c r="H9" i="3"/>
  <c r="H28" i="3"/>
  <c r="H34" i="3" s="1"/>
  <c r="H39" i="3" s="1"/>
  <c r="H26" i="3"/>
  <c r="H32" i="3" s="1"/>
  <c r="H4" i="3"/>
  <c r="H10" i="3"/>
  <c r="H31" i="3"/>
  <c r="H18" i="3"/>
  <c r="H22" i="3"/>
  <c r="H67" i="3" s="1"/>
  <c r="H30" i="3"/>
  <c r="H27" i="3"/>
  <c r="H33" i="3" s="1"/>
  <c r="I5" i="3"/>
  <c r="H21" i="3"/>
  <c r="H56" i="3" s="1"/>
  <c r="G67" i="3"/>
  <c r="E86" i="3"/>
  <c r="E10" i="6" s="1"/>
  <c r="E11" i="5" s="1"/>
  <c r="E54" i="3"/>
  <c r="E57" i="3"/>
  <c r="E58" i="3" s="1"/>
  <c r="G38" i="3"/>
  <c r="BN24" i="6"/>
  <c r="G4" i="6"/>
  <c r="G4" i="5"/>
  <c r="G62" i="3"/>
  <c r="G11" i="6"/>
  <c r="G6" i="5"/>
  <c r="G6" i="6"/>
  <c r="G64" i="3" l="1"/>
  <c r="G71" i="3"/>
  <c r="H61" i="3"/>
  <c r="E59" i="3"/>
  <c r="H65" i="3"/>
  <c r="H66" i="3" s="1"/>
  <c r="H23" i="3"/>
  <c r="H68" i="3" s="1"/>
  <c r="H71" i="3" s="1"/>
  <c r="H18" i="5"/>
  <c r="H19" i="5" s="1"/>
  <c r="I5" i="6"/>
  <c r="I88" i="3"/>
  <c r="I18" i="5" s="1"/>
  <c r="I19" i="5" s="1"/>
  <c r="I5" i="5"/>
  <c r="I70" i="3"/>
  <c r="I95" i="3"/>
  <c r="I29" i="3"/>
  <c r="I24" i="3"/>
  <c r="I75" i="3" s="1"/>
  <c r="I15" i="5" s="1"/>
  <c r="I16" i="5" s="1"/>
  <c r="I19" i="3"/>
  <c r="I61" i="3" s="1"/>
  <c r="I20" i="3"/>
  <c r="I9" i="3"/>
  <c r="I26" i="3"/>
  <c r="I32" i="3" s="1"/>
  <c r="I28" i="3"/>
  <c r="I34" i="3" s="1"/>
  <c r="I39" i="3" s="1"/>
  <c r="I21" i="3"/>
  <c r="I56" i="3" s="1"/>
  <c r="I22" i="3"/>
  <c r="I67" i="3" s="1"/>
  <c r="I30" i="3"/>
  <c r="I6" i="3"/>
  <c r="I4" i="3"/>
  <c r="I10" i="3"/>
  <c r="I82" i="3" s="1"/>
  <c r="I31" i="3"/>
  <c r="I18" i="3"/>
  <c r="J5" i="3"/>
  <c r="I27" i="3"/>
  <c r="I33" i="3" s="1"/>
  <c r="H81" i="3"/>
  <c r="H6" i="6"/>
  <c r="H6" i="5"/>
  <c r="E72" i="3"/>
  <c r="E85" i="3"/>
  <c r="E87" i="3" s="1"/>
  <c r="E16" i="6" s="1"/>
  <c r="G19" i="6"/>
  <c r="F55" i="3"/>
  <c r="F41" i="3"/>
  <c r="G16" i="3"/>
  <c r="H4" i="6"/>
  <c r="H4" i="5"/>
  <c r="F40" i="3"/>
  <c r="G37" i="3"/>
  <c r="H14" i="3"/>
  <c r="H15" i="3"/>
  <c r="H13" i="3"/>
  <c r="H12" i="3"/>
  <c r="H16" i="3" s="1"/>
  <c r="B32" i="7"/>
  <c r="F45" i="3"/>
  <c r="F46" i="3"/>
  <c r="E43" i="3"/>
  <c r="F42" i="3"/>
  <c r="F48" i="3"/>
  <c r="F52" i="3"/>
  <c r="H35" i="3"/>
  <c r="H63" i="3" s="1"/>
  <c r="H64" i="3" s="1"/>
  <c r="H11" i="6"/>
  <c r="H38" i="3"/>
  <c r="I38" i="3" l="1"/>
  <c r="G72" i="3"/>
  <c r="J5" i="6"/>
  <c r="J88" i="3"/>
  <c r="J5" i="5"/>
  <c r="J95" i="3"/>
  <c r="J70" i="3"/>
  <c r="J29" i="3"/>
  <c r="J31" i="3"/>
  <c r="J20" i="3"/>
  <c r="J26" i="3"/>
  <c r="J28" i="3"/>
  <c r="J34" i="3" s="1"/>
  <c r="J39" i="3" s="1"/>
  <c r="J4" i="3"/>
  <c r="J18" i="3"/>
  <c r="J6" i="3"/>
  <c r="J10" i="3"/>
  <c r="J9" i="3"/>
  <c r="J22" i="3"/>
  <c r="J67" i="3" s="1"/>
  <c r="J30" i="3"/>
  <c r="J21" i="3"/>
  <c r="J56" i="3" s="1"/>
  <c r="K5" i="3"/>
  <c r="J19" i="3"/>
  <c r="J61" i="3" s="1"/>
  <c r="J24" i="3"/>
  <c r="J75" i="3" s="1"/>
  <c r="J15" i="5" s="1"/>
  <c r="J16" i="5" s="1"/>
  <c r="J27" i="3"/>
  <c r="J33" i="3" s="1"/>
  <c r="J38" i="3" s="1"/>
  <c r="C44" i="9"/>
  <c r="E44" i="9" s="1"/>
  <c r="I35" i="3"/>
  <c r="I62" i="3"/>
  <c r="G40" i="3"/>
  <c r="H37" i="3"/>
  <c r="E17" i="6"/>
  <c r="E12" i="5"/>
  <c r="I11" i="6"/>
  <c r="I15" i="3"/>
  <c r="I14" i="3"/>
  <c r="I13" i="3"/>
  <c r="I12" i="3"/>
  <c r="I16" i="3" s="1"/>
  <c r="H72" i="3"/>
  <c r="G45" i="3"/>
  <c r="G46" i="3"/>
  <c r="G52" i="3"/>
  <c r="F43" i="3"/>
  <c r="G42" i="3"/>
  <c r="G48" i="3"/>
  <c r="I81" i="3"/>
  <c r="I4" i="6"/>
  <c r="I4" i="5"/>
  <c r="I65" i="3"/>
  <c r="I66" i="3" s="1"/>
  <c r="I23" i="3"/>
  <c r="I68" i="3" s="1"/>
  <c r="I71" i="3" s="1"/>
  <c r="E74" i="3"/>
  <c r="H19" i="6"/>
  <c r="I6" i="6"/>
  <c r="I6" i="5"/>
  <c r="G55" i="3"/>
  <c r="G41" i="3"/>
  <c r="F53" i="3"/>
  <c r="F47" i="3"/>
  <c r="F49" i="3" s="1"/>
  <c r="F86" i="3" l="1"/>
  <c r="F10" i="6" s="1"/>
  <c r="F11" i="5" s="1"/>
  <c r="F54" i="3"/>
  <c r="I64" i="3"/>
  <c r="G53" i="3"/>
  <c r="G47" i="3"/>
  <c r="K5" i="6"/>
  <c r="K5" i="5"/>
  <c r="K95" i="3"/>
  <c r="K70" i="3"/>
  <c r="K88" i="3"/>
  <c r="K18" i="5" s="1"/>
  <c r="K19" i="5" s="1"/>
  <c r="K29" i="3"/>
  <c r="K20" i="3"/>
  <c r="K62" i="3" s="1"/>
  <c r="K9" i="3"/>
  <c r="K26" i="3"/>
  <c r="K32" i="3" s="1"/>
  <c r="K28" i="3"/>
  <c r="K34" i="3" s="1"/>
  <c r="K39" i="3" s="1"/>
  <c r="K21" i="3"/>
  <c r="K56" i="3" s="1"/>
  <c r="K10" i="3"/>
  <c r="K27" i="3"/>
  <c r="K33" i="3" s="1"/>
  <c r="K38" i="3" s="1"/>
  <c r="K18" i="3"/>
  <c r="K6" i="3"/>
  <c r="K31" i="3"/>
  <c r="K22" i="3"/>
  <c r="K30" i="3"/>
  <c r="K24" i="3"/>
  <c r="K75" i="3" s="1"/>
  <c r="K15" i="5" s="1"/>
  <c r="K16" i="5" s="1"/>
  <c r="K4" i="3"/>
  <c r="L5" i="3"/>
  <c r="K19" i="3"/>
  <c r="K61" i="3" s="1"/>
  <c r="H40" i="3"/>
  <c r="I37" i="3"/>
  <c r="J14" i="3"/>
  <c r="J13" i="3"/>
  <c r="J12" i="3"/>
  <c r="J15" i="3"/>
  <c r="J81" i="3"/>
  <c r="J6" i="6"/>
  <c r="J6" i="5"/>
  <c r="J23" i="3"/>
  <c r="J68" i="3" s="1"/>
  <c r="J65" i="3"/>
  <c r="J66" i="3" s="1"/>
  <c r="J71" i="3"/>
  <c r="J82" i="3"/>
  <c r="J4" i="6"/>
  <c r="J4" i="5"/>
  <c r="I19" i="6"/>
  <c r="H55" i="3"/>
  <c r="H41" i="3"/>
  <c r="J32" i="3"/>
  <c r="J35" i="3" s="1"/>
  <c r="J63" i="3" s="1"/>
  <c r="J11" i="6"/>
  <c r="J18" i="5"/>
  <c r="J19" i="5" s="1"/>
  <c r="F50" i="3"/>
  <c r="F92" i="3" s="1"/>
  <c r="I63" i="3"/>
  <c r="H46" i="3"/>
  <c r="H52" i="3"/>
  <c r="H48" i="3"/>
  <c r="G43" i="3"/>
  <c r="H42" i="3"/>
  <c r="H45" i="3"/>
  <c r="J62" i="3"/>
  <c r="J64" i="3" l="1"/>
  <c r="J72" i="3" s="1"/>
  <c r="K15" i="3"/>
  <c r="K14" i="3"/>
  <c r="K13" i="3"/>
  <c r="K12" i="3"/>
  <c r="K16" i="3" s="1"/>
  <c r="L5" i="6"/>
  <c r="L5" i="5"/>
  <c r="L95" i="3"/>
  <c r="L29" i="3"/>
  <c r="L70" i="3"/>
  <c r="L30" i="3"/>
  <c r="L20" i="3"/>
  <c r="L26" i="3"/>
  <c r="L32" i="3" s="1"/>
  <c r="L28" i="3"/>
  <c r="L34" i="3" s="1"/>
  <c r="L39" i="3" s="1"/>
  <c r="L21" i="3"/>
  <c r="L10" i="3"/>
  <c r="L22" i="3"/>
  <c r="L6" i="3"/>
  <c r="L31" i="3"/>
  <c r="L9" i="3"/>
  <c r="L18" i="3"/>
  <c r="M5" i="3"/>
  <c r="L88" i="3"/>
  <c r="L18" i="5" s="1"/>
  <c r="L19" i="5" s="1"/>
  <c r="L4" i="3"/>
  <c r="L19" i="3"/>
  <c r="L24" i="3"/>
  <c r="L75" i="3" s="1"/>
  <c r="L15" i="5" s="1"/>
  <c r="L16" i="5" s="1"/>
  <c r="L27" i="3"/>
  <c r="L33" i="3" s="1"/>
  <c r="L38" i="3" s="1"/>
  <c r="K81" i="3"/>
  <c r="I55" i="3"/>
  <c r="I41" i="3"/>
  <c r="G49" i="3"/>
  <c r="G50" i="3"/>
  <c r="G92" i="3" s="1"/>
  <c r="I72" i="3"/>
  <c r="H47" i="3"/>
  <c r="H53" i="3"/>
  <c r="H50" i="3"/>
  <c r="H92" i="3" s="1"/>
  <c r="H49" i="3"/>
  <c r="K67" i="3"/>
  <c r="F57" i="3"/>
  <c r="K35" i="3"/>
  <c r="K63" i="3" s="1"/>
  <c r="K64" i="3"/>
  <c r="I46" i="3"/>
  <c r="I52" i="3"/>
  <c r="I48" i="3"/>
  <c r="I42" i="3"/>
  <c r="H43" i="3"/>
  <c r="I45" i="3"/>
  <c r="I40" i="3"/>
  <c r="J37" i="3"/>
  <c r="J16" i="3"/>
  <c r="K6" i="6"/>
  <c r="K6" i="5"/>
  <c r="J19" i="6"/>
  <c r="K4" i="6"/>
  <c r="K4" i="5"/>
  <c r="K11" i="6"/>
  <c r="K82" i="3"/>
  <c r="K23" i="3"/>
  <c r="K68" i="3" s="1"/>
  <c r="K65" i="3"/>
  <c r="K66" i="3" s="1"/>
  <c r="L82" i="3" l="1"/>
  <c r="M5" i="6"/>
  <c r="M95" i="3"/>
  <c r="M5" i="5"/>
  <c r="M29" i="3"/>
  <c r="M30" i="3"/>
  <c r="M26" i="3"/>
  <c r="M32" i="3" s="1"/>
  <c r="M28" i="3"/>
  <c r="M34" i="3" s="1"/>
  <c r="M39" i="3" s="1"/>
  <c r="M21" i="3"/>
  <c r="M27" i="3"/>
  <c r="M33" i="3" s="1"/>
  <c r="M38" i="3" s="1"/>
  <c r="M10" i="3"/>
  <c r="M20" i="3"/>
  <c r="M62" i="3" s="1"/>
  <c r="M9" i="3"/>
  <c r="M24" i="3"/>
  <c r="M75" i="3" s="1"/>
  <c r="M15" i="5" s="1"/>
  <c r="M16" i="5" s="1"/>
  <c r="M22" i="3"/>
  <c r="M67" i="3" s="1"/>
  <c r="M31" i="3"/>
  <c r="M18" i="3"/>
  <c r="M6" i="3"/>
  <c r="N5" i="3"/>
  <c r="M88" i="3"/>
  <c r="M18" i="5" s="1"/>
  <c r="M19" i="5" s="1"/>
  <c r="M70" i="3"/>
  <c r="M19" i="3"/>
  <c r="M4" i="3"/>
  <c r="F85" i="3"/>
  <c r="F87" i="3" s="1"/>
  <c r="F16" i="6" s="1"/>
  <c r="F58" i="3"/>
  <c r="L67" i="3"/>
  <c r="J55" i="3"/>
  <c r="J41" i="3"/>
  <c r="L81" i="3"/>
  <c r="L65" i="3"/>
  <c r="L66" i="3" s="1"/>
  <c r="L23" i="3"/>
  <c r="L68" i="3" s="1"/>
  <c r="L15" i="3"/>
  <c r="L14" i="3"/>
  <c r="L12" i="3"/>
  <c r="L13" i="3"/>
  <c r="L4" i="6"/>
  <c r="L4" i="5"/>
  <c r="L35" i="3"/>
  <c r="L62" i="3"/>
  <c r="G86" i="3"/>
  <c r="G10" i="6" s="1"/>
  <c r="G11" i="5" s="1"/>
  <c r="G54" i="3"/>
  <c r="K71" i="3"/>
  <c r="L6" i="6"/>
  <c r="L6" i="5"/>
  <c r="L11" i="6"/>
  <c r="K37" i="3"/>
  <c r="J40" i="3"/>
  <c r="I47" i="3"/>
  <c r="I49" i="3" s="1"/>
  <c r="I53" i="3"/>
  <c r="H86" i="3"/>
  <c r="H10" i="6" s="1"/>
  <c r="H54" i="3"/>
  <c r="H57" i="3" s="1"/>
  <c r="H85" i="3" s="1"/>
  <c r="H87" i="3" s="1"/>
  <c r="H16" i="6" s="1"/>
  <c r="L56" i="3"/>
  <c r="J46" i="3"/>
  <c r="J52" i="3"/>
  <c r="J48" i="3"/>
  <c r="J42" i="3"/>
  <c r="I43" i="3"/>
  <c r="J45" i="3"/>
  <c r="K19" i="6"/>
  <c r="K72" i="3"/>
  <c r="L61" i="3"/>
  <c r="I50" i="3" l="1"/>
  <c r="I92" i="3" s="1"/>
  <c r="M61" i="3"/>
  <c r="M64" i="3" s="1"/>
  <c r="M56" i="3"/>
  <c r="H11" i="5"/>
  <c r="M35" i="3"/>
  <c r="M63" i="3" s="1"/>
  <c r="M81" i="3"/>
  <c r="L16" i="3"/>
  <c r="M4" i="6"/>
  <c r="M4" i="5"/>
  <c r="H58" i="3"/>
  <c r="L19" i="6"/>
  <c r="G57" i="3"/>
  <c r="M6" i="6"/>
  <c r="M6" i="5"/>
  <c r="F17" i="6"/>
  <c r="F12" i="5"/>
  <c r="N5" i="6"/>
  <c r="N88" i="3"/>
  <c r="N18" i="5" s="1"/>
  <c r="N19" i="5" s="1"/>
  <c r="N5" i="5"/>
  <c r="N95" i="3"/>
  <c r="N29" i="3"/>
  <c r="N27" i="3"/>
  <c r="N33" i="3" s="1"/>
  <c r="N38" i="3" s="1"/>
  <c r="N30" i="3"/>
  <c r="N28" i="3"/>
  <c r="N34" i="3" s="1"/>
  <c r="N39" i="3" s="1"/>
  <c r="N21" i="3"/>
  <c r="N10" i="3"/>
  <c r="N22" i="3"/>
  <c r="N20" i="3"/>
  <c r="N62" i="3" s="1"/>
  <c r="O5" i="3"/>
  <c r="N9" i="3"/>
  <c r="N31" i="3"/>
  <c r="N18" i="3"/>
  <c r="N6" i="3"/>
  <c r="N70" i="3"/>
  <c r="N26" i="3"/>
  <c r="N32" i="3" s="1"/>
  <c r="N24" i="3"/>
  <c r="N75" i="3" s="1"/>
  <c r="N15" i="5" s="1"/>
  <c r="N16" i="5" s="1"/>
  <c r="N4" i="3"/>
  <c r="N19" i="3"/>
  <c r="J47" i="3"/>
  <c r="J50" i="3" s="1"/>
  <c r="J92" i="3" s="1"/>
  <c r="J53" i="3"/>
  <c r="K55" i="3"/>
  <c r="K41" i="3"/>
  <c r="L71" i="3"/>
  <c r="I86" i="3"/>
  <c r="I10" i="6" s="1"/>
  <c r="I11" i="5" s="1"/>
  <c r="I54" i="3"/>
  <c r="I57" i="3" s="1"/>
  <c r="M82" i="3"/>
  <c r="N82" i="3" s="1"/>
  <c r="L37" i="3"/>
  <c r="K40" i="3"/>
  <c r="H17" i="6"/>
  <c r="M65" i="3"/>
  <c r="M66" i="3" s="1"/>
  <c r="M23" i="3"/>
  <c r="M68" i="3" s="1"/>
  <c r="M71" i="3" s="1"/>
  <c r="K46" i="3"/>
  <c r="K52" i="3"/>
  <c r="K48" i="3"/>
  <c r="K45" i="3"/>
  <c r="K42" i="3"/>
  <c r="J43" i="3"/>
  <c r="M11" i="6"/>
  <c r="F74" i="3"/>
  <c r="F59" i="3"/>
  <c r="L63" i="3"/>
  <c r="L64" i="3" s="1"/>
  <c r="M15" i="3"/>
  <c r="M14" i="3"/>
  <c r="M12" i="3"/>
  <c r="M13" i="3"/>
  <c r="N35" i="3" l="1"/>
  <c r="N63" i="3" s="1"/>
  <c r="N56" i="3"/>
  <c r="N61" i="3"/>
  <c r="I85" i="3"/>
  <c r="I87" i="3" s="1"/>
  <c r="I16" i="6" s="1"/>
  <c r="I58" i="3"/>
  <c r="L72" i="3"/>
  <c r="H74" i="3"/>
  <c r="H59" i="3"/>
  <c r="N4" i="6"/>
  <c r="N4" i="5"/>
  <c r="M37" i="3"/>
  <c r="L40" i="3"/>
  <c r="G85" i="3"/>
  <c r="G87" i="3" s="1"/>
  <c r="G16" i="6" s="1"/>
  <c r="G58" i="3"/>
  <c r="L52" i="3"/>
  <c r="L48" i="3"/>
  <c r="K43" i="3"/>
  <c r="L42" i="3"/>
  <c r="L46" i="3"/>
  <c r="L45" i="3"/>
  <c r="L55" i="3"/>
  <c r="L41" i="3"/>
  <c r="M19" i="6"/>
  <c r="N65" i="3"/>
  <c r="N66" i="3" s="1"/>
  <c r="N23" i="3"/>
  <c r="N68" i="3" s="1"/>
  <c r="O5" i="6"/>
  <c r="O88" i="3"/>
  <c r="O18" i="5" s="1"/>
  <c r="O19" i="5" s="1"/>
  <c r="O5" i="5"/>
  <c r="O95" i="3"/>
  <c r="O30" i="3"/>
  <c r="O29" i="3"/>
  <c r="O28" i="3"/>
  <c r="O34" i="3" s="1"/>
  <c r="O39" i="3" s="1"/>
  <c r="O21" i="3"/>
  <c r="O27" i="3"/>
  <c r="O33" i="3" s="1"/>
  <c r="O38" i="3" s="1"/>
  <c r="O22" i="3"/>
  <c r="O4" i="3"/>
  <c r="O9" i="3"/>
  <c r="O31" i="3"/>
  <c r="O18" i="3"/>
  <c r="O6" i="3"/>
  <c r="O19" i="3"/>
  <c r="O61" i="3" s="1"/>
  <c r="O26" i="3"/>
  <c r="O32" i="3" s="1"/>
  <c r="P5" i="3"/>
  <c r="O70" i="3"/>
  <c r="O24" i="3"/>
  <c r="O75" i="3" s="1"/>
  <c r="O15" i="5" s="1"/>
  <c r="O16" i="5" s="1"/>
  <c r="O20" i="3"/>
  <c r="O10" i="3"/>
  <c r="J49" i="3"/>
  <c r="N64" i="3"/>
  <c r="N11" i="6"/>
  <c r="K47" i="3"/>
  <c r="K50" i="3" s="1"/>
  <c r="K92" i="3" s="1"/>
  <c r="K53" i="3"/>
  <c r="M16" i="3"/>
  <c r="N15" i="3"/>
  <c r="N13" i="3"/>
  <c r="N14" i="3"/>
  <c r="N12" i="3"/>
  <c r="M72" i="3"/>
  <c r="N67" i="3"/>
  <c r="N71" i="3" s="1"/>
  <c r="N6" i="6"/>
  <c r="N6" i="5"/>
  <c r="N81" i="3"/>
  <c r="O35" i="3" l="1"/>
  <c r="O63" i="3" s="1"/>
  <c r="N16" i="3"/>
  <c r="O65" i="3"/>
  <c r="O66" i="3" s="1"/>
  <c r="O23" i="3"/>
  <c r="O68" i="3" s="1"/>
  <c r="N37" i="3"/>
  <c r="M40" i="3"/>
  <c r="N19" i="6"/>
  <c r="G17" i="6"/>
  <c r="G12" i="5"/>
  <c r="H12" i="5"/>
  <c r="O11" i="6"/>
  <c r="O67" i="3"/>
  <c r="O71" i="3" s="1"/>
  <c r="L47" i="3"/>
  <c r="L53" i="3"/>
  <c r="L50" i="3"/>
  <c r="L92" i="3" s="1"/>
  <c r="L49" i="3"/>
  <c r="O6" i="6"/>
  <c r="O6" i="5"/>
  <c r="O15" i="3"/>
  <c r="O12" i="3"/>
  <c r="O14" i="3"/>
  <c r="O13" i="3"/>
  <c r="O4" i="6"/>
  <c r="O4" i="5"/>
  <c r="M41" i="3"/>
  <c r="M55" i="3"/>
  <c r="N72" i="3"/>
  <c r="J86" i="3"/>
  <c r="J10" i="6" s="1"/>
  <c r="J11" i="5" s="1"/>
  <c r="J54" i="3"/>
  <c r="J57" i="3" s="1"/>
  <c r="J58" i="3"/>
  <c r="J74" i="3" s="1"/>
  <c r="K49" i="3"/>
  <c r="O81" i="3"/>
  <c r="M52" i="3"/>
  <c r="M42" i="3"/>
  <c r="M48" i="3"/>
  <c r="M46" i="3"/>
  <c r="L43" i="3"/>
  <c r="M45" i="3"/>
  <c r="O82" i="3"/>
  <c r="I74" i="3"/>
  <c r="I59" i="3"/>
  <c r="O56" i="3"/>
  <c r="O62" i="3"/>
  <c r="O64" i="3" s="1"/>
  <c r="O72" i="3" s="1"/>
  <c r="P5" i="6"/>
  <c r="P5" i="5"/>
  <c r="P95" i="3"/>
  <c r="P30" i="3"/>
  <c r="P28" i="3"/>
  <c r="P34" i="3" s="1"/>
  <c r="P39" i="3" s="1"/>
  <c r="P31" i="3"/>
  <c r="P27" i="3"/>
  <c r="P33" i="3" s="1"/>
  <c r="P38" i="3" s="1"/>
  <c r="P22" i="3"/>
  <c r="P18" i="3"/>
  <c r="P6" i="3"/>
  <c r="Q5" i="3"/>
  <c r="P24" i="3"/>
  <c r="P75" i="3" s="1"/>
  <c r="P15" i="5" s="1"/>
  <c r="P16" i="5" s="1"/>
  <c r="P26" i="3"/>
  <c r="P32" i="3" s="1"/>
  <c r="P88" i="3"/>
  <c r="P18" i="5" s="1"/>
  <c r="P19" i="5" s="1"/>
  <c r="P19" i="3"/>
  <c r="P70" i="3"/>
  <c r="P29" i="3"/>
  <c r="P21" i="3"/>
  <c r="P10" i="3"/>
  <c r="P20" i="3"/>
  <c r="P62" i="3" s="1"/>
  <c r="P9" i="3"/>
  <c r="P4" i="3"/>
  <c r="G74" i="3"/>
  <c r="G59" i="3"/>
  <c r="I17" i="6"/>
  <c r="I12" i="5"/>
  <c r="P67" i="3" l="1"/>
  <c r="C8" i="4"/>
  <c r="C7" i="4"/>
  <c r="P4" i="6"/>
  <c r="P4" i="5"/>
  <c r="P12" i="3"/>
  <c r="P15" i="3"/>
  <c r="P14" i="3"/>
  <c r="P13" i="3"/>
  <c r="P11" i="6"/>
  <c r="P56" i="3"/>
  <c r="O16" i="3"/>
  <c r="O19" i="6"/>
  <c r="N41" i="3"/>
  <c r="N55" i="3"/>
  <c r="L86" i="3"/>
  <c r="L10" i="6" s="1"/>
  <c r="L54" i="3"/>
  <c r="L57" i="3" s="1"/>
  <c r="P65" i="3"/>
  <c r="P66" i="3" s="1"/>
  <c r="P23" i="3"/>
  <c r="M47" i="3"/>
  <c r="M50" i="3" s="1"/>
  <c r="M92" i="3" s="1"/>
  <c r="M53" i="3"/>
  <c r="N52" i="3"/>
  <c r="N42" i="3"/>
  <c r="N48" i="3"/>
  <c r="N46" i="3"/>
  <c r="N45" i="3"/>
  <c r="M43" i="3"/>
  <c r="K86" i="3"/>
  <c r="K10" i="6" s="1"/>
  <c r="K11" i="5" s="1"/>
  <c r="K54" i="3"/>
  <c r="K57" i="3" s="1"/>
  <c r="K85" i="3" s="1"/>
  <c r="K87" i="3" s="1"/>
  <c r="K16" i="6" s="1"/>
  <c r="K58" i="3"/>
  <c r="K74" i="3" s="1"/>
  <c r="N40" i="3"/>
  <c r="O37" i="3"/>
  <c r="J85" i="3"/>
  <c r="J87" i="3" s="1"/>
  <c r="J16" i="6" s="1"/>
  <c r="P61" i="3"/>
  <c r="J59" i="3"/>
  <c r="P35" i="3"/>
  <c r="P63" i="3" s="1"/>
  <c r="Q5" i="5"/>
  <c r="Q5" i="6"/>
  <c r="Q95" i="3"/>
  <c r="Q30" i="3"/>
  <c r="Q70" i="3"/>
  <c r="Q28" i="3"/>
  <c r="Q34" i="3" s="1"/>
  <c r="Q39" i="3" s="1"/>
  <c r="Q31" i="3"/>
  <c r="Q27" i="3"/>
  <c r="Q33" i="3" s="1"/>
  <c r="Q38" i="3" s="1"/>
  <c r="Q22" i="3"/>
  <c r="Q67" i="3" s="1"/>
  <c r="Q4" i="3"/>
  <c r="Q26" i="3"/>
  <c r="Q32" i="3" s="1"/>
  <c r="Q35" i="3" s="1"/>
  <c r="Q63" i="3" s="1"/>
  <c r="Q21" i="3"/>
  <c r="Q88" i="3"/>
  <c r="Q18" i="5" s="1"/>
  <c r="Q19" i="5" s="1"/>
  <c r="Q29" i="3"/>
  <c r="R5" i="3"/>
  <c r="Q24" i="3"/>
  <c r="Q75" i="3" s="1"/>
  <c r="Q15" i="5" s="1"/>
  <c r="Q16" i="5" s="1"/>
  <c r="Q19" i="3"/>
  <c r="Q18" i="3"/>
  <c r="Q20" i="3"/>
  <c r="Q10" i="3"/>
  <c r="Q6" i="3"/>
  <c r="Q9" i="3"/>
  <c r="P6" i="6"/>
  <c r="P6" i="5"/>
  <c r="Q61" i="3" l="1"/>
  <c r="Q62" i="3"/>
  <c r="Q56" i="3"/>
  <c r="L85" i="3"/>
  <c r="L87" i="3" s="1"/>
  <c r="L16" i="6" s="1"/>
  <c r="L58" i="3"/>
  <c r="O41" i="3"/>
  <c r="O55" i="3"/>
  <c r="M49" i="3"/>
  <c r="K59" i="3"/>
  <c r="L11" i="5"/>
  <c r="Q81" i="3"/>
  <c r="O52" i="3"/>
  <c r="O42" i="3"/>
  <c r="O48" i="3"/>
  <c r="O46" i="3"/>
  <c r="O45" i="3"/>
  <c r="N43" i="3"/>
  <c r="Q11" i="6"/>
  <c r="BO11" i="6"/>
  <c r="R5" i="6"/>
  <c r="R5" i="5"/>
  <c r="R30" i="3"/>
  <c r="R28" i="3"/>
  <c r="R34" i="3" s="1"/>
  <c r="R39" i="3" s="1"/>
  <c r="R31" i="3"/>
  <c r="R95" i="3"/>
  <c r="R27" i="3"/>
  <c r="R33" i="3" s="1"/>
  <c r="R38" i="3" s="1"/>
  <c r="R22" i="3"/>
  <c r="R67" i="3" s="1"/>
  <c r="S5" i="3"/>
  <c r="R18" i="3"/>
  <c r="R19" i="3"/>
  <c r="R21" i="3"/>
  <c r="R29" i="3"/>
  <c r="R88" i="3"/>
  <c r="R18" i="5" s="1"/>
  <c r="R19" i="5" s="1"/>
  <c r="R24" i="3"/>
  <c r="R75" i="3" s="1"/>
  <c r="R15" i="5" s="1"/>
  <c r="R16" i="5" s="1"/>
  <c r="R70" i="3"/>
  <c r="R10" i="3"/>
  <c r="R4" i="3"/>
  <c r="R6" i="3"/>
  <c r="R26" i="3"/>
  <c r="R32" i="3" s="1"/>
  <c r="R20" i="3"/>
  <c r="R62" i="3" s="1"/>
  <c r="R9" i="3"/>
  <c r="K17" i="6"/>
  <c r="K12" i="5"/>
  <c r="Q4" i="6"/>
  <c r="Q4" i="5"/>
  <c r="Q64" i="3"/>
  <c r="P68" i="3"/>
  <c r="P71" i="3" s="1"/>
  <c r="C49" i="4"/>
  <c r="P64" i="3"/>
  <c r="N47" i="3"/>
  <c r="N49" i="3" s="1"/>
  <c r="N53" i="3"/>
  <c r="P19" i="6"/>
  <c r="Q14" i="3"/>
  <c r="Q13" i="3"/>
  <c r="Q15" i="3"/>
  <c r="Q12" i="3"/>
  <c r="Q16" i="3" s="1"/>
  <c r="Q65" i="3"/>
  <c r="Q66" i="3" s="1"/>
  <c r="Q23" i="3"/>
  <c r="Q68" i="3" s="1"/>
  <c r="Q71" i="3" s="1"/>
  <c r="J17" i="6"/>
  <c r="J12" i="5"/>
  <c r="P37" i="3"/>
  <c r="O40" i="3"/>
  <c r="P16" i="3"/>
  <c r="Q6" i="6"/>
  <c r="Q6" i="5"/>
  <c r="P72" i="3" l="1"/>
  <c r="N86" i="3"/>
  <c r="N10" i="6" s="1"/>
  <c r="N54" i="3"/>
  <c r="N57" i="3" s="1"/>
  <c r="C6" i="4"/>
  <c r="Q37" i="3"/>
  <c r="P40" i="3"/>
  <c r="R71" i="3"/>
  <c r="R65" i="3"/>
  <c r="R66" i="3" s="1"/>
  <c r="R23" i="3"/>
  <c r="R68" i="3" s="1"/>
  <c r="O47" i="3"/>
  <c r="O49" i="3" s="1"/>
  <c r="O53" i="3"/>
  <c r="S5" i="6"/>
  <c r="S5" i="5"/>
  <c r="S88" i="3"/>
  <c r="S18" i="5" s="1"/>
  <c r="S19" i="5" s="1"/>
  <c r="S70" i="3"/>
  <c r="S31" i="3"/>
  <c r="S30" i="3"/>
  <c r="S95" i="3"/>
  <c r="S28" i="3"/>
  <c r="S34" i="3" s="1"/>
  <c r="S39" i="3" s="1"/>
  <c r="S18" i="3"/>
  <c r="S24" i="3"/>
  <c r="S75" i="3" s="1"/>
  <c r="S15" i="5" s="1"/>
  <c r="S16" i="5" s="1"/>
  <c r="S19" i="3"/>
  <c r="S22" i="3"/>
  <c r="S29" i="3"/>
  <c r="T5" i="3"/>
  <c r="S21" i="3"/>
  <c r="S6" i="3"/>
  <c r="S10" i="3"/>
  <c r="S20" i="3"/>
  <c r="S9" i="3"/>
  <c r="S27" i="3"/>
  <c r="S33" i="3" s="1"/>
  <c r="S38" i="3" s="1"/>
  <c r="S4" i="3"/>
  <c r="S26" i="3"/>
  <c r="S32" i="3" s="1"/>
  <c r="P41" i="3"/>
  <c r="P55" i="3"/>
  <c r="P52" i="3"/>
  <c r="P42" i="3"/>
  <c r="P48" i="3"/>
  <c r="P46" i="3"/>
  <c r="P45" i="3"/>
  <c r="O43" i="3"/>
  <c r="R12" i="3"/>
  <c r="R14" i="3"/>
  <c r="R13" i="3"/>
  <c r="R15" i="3"/>
  <c r="L17" i="6"/>
  <c r="L12" i="5"/>
  <c r="R35" i="3"/>
  <c r="R63" i="3" s="1"/>
  <c r="Q72" i="3"/>
  <c r="R4" i="6"/>
  <c r="R4" i="5"/>
  <c r="N50" i="3"/>
  <c r="N92" i="3" s="1"/>
  <c r="B22" i="7"/>
  <c r="R56" i="3"/>
  <c r="R6" i="6"/>
  <c r="R6" i="5"/>
  <c r="R81" i="3"/>
  <c r="M86" i="3"/>
  <c r="M10" i="6" s="1"/>
  <c r="M11" i="5" s="1"/>
  <c r="M54" i="3"/>
  <c r="M57" i="3" s="1"/>
  <c r="M85" i="3" s="1"/>
  <c r="M87" i="3" s="1"/>
  <c r="M16" i="6" s="1"/>
  <c r="R11" i="6"/>
  <c r="L74" i="3"/>
  <c r="L59" i="3"/>
  <c r="BO19" i="6"/>
  <c r="Q19" i="6"/>
  <c r="R61" i="3"/>
  <c r="O50" i="3" l="1"/>
  <c r="O92" i="3" s="1"/>
  <c r="S35" i="3"/>
  <c r="S63" i="3" s="1"/>
  <c r="N85" i="3"/>
  <c r="N87" i="3" s="1"/>
  <c r="N16" i="6" s="1"/>
  <c r="N58" i="3"/>
  <c r="R37" i="3"/>
  <c r="Q40" i="3"/>
  <c r="O86" i="3"/>
  <c r="O10" i="6" s="1"/>
  <c r="O11" i="5" s="1"/>
  <c r="O54" i="3"/>
  <c r="O57" i="3" s="1"/>
  <c r="O85" i="3" s="1"/>
  <c r="O87" i="3" s="1"/>
  <c r="O16" i="6" s="1"/>
  <c r="S65" i="3"/>
  <c r="S66" i="3" s="1"/>
  <c r="S23" i="3"/>
  <c r="S68" i="3" s="1"/>
  <c r="M17" i="6"/>
  <c r="M12" i="5"/>
  <c r="S62" i="3"/>
  <c r="S11" i="6"/>
  <c r="R64" i="3"/>
  <c r="R72" i="3" s="1"/>
  <c r="S6" i="6"/>
  <c r="S6" i="5"/>
  <c r="Q41" i="3"/>
  <c r="Q55" i="3"/>
  <c r="C9" i="4"/>
  <c r="S4" i="6"/>
  <c r="S4" i="5"/>
  <c r="M58" i="3"/>
  <c r="S13" i="3"/>
  <c r="S14" i="3"/>
  <c r="S15" i="3"/>
  <c r="S12" i="3"/>
  <c r="S16" i="3" s="1"/>
  <c r="R16" i="3"/>
  <c r="S81" i="3"/>
  <c r="R19" i="6"/>
  <c r="P53" i="3"/>
  <c r="P47" i="3"/>
  <c r="P49" i="3" s="1"/>
  <c r="S56" i="3"/>
  <c r="T5" i="6"/>
  <c r="T95" i="3"/>
  <c r="T5" i="5"/>
  <c r="T88" i="3"/>
  <c r="T18" i="5" s="1"/>
  <c r="T19" i="5" s="1"/>
  <c r="T70" i="3"/>
  <c r="T31" i="3"/>
  <c r="U5" i="3"/>
  <c r="T18" i="3"/>
  <c r="T22" i="3"/>
  <c r="T67" i="3" s="1"/>
  <c r="T21" i="3"/>
  <c r="T56" i="3" s="1"/>
  <c r="T24" i="3"/>
  <c r="T75" i="3" s="1"/>
  <c r="T15" i="5" s="1"/>
  <c r="T16" i="5" s="1"/>
  <c r="T30" i="3"/>
  <c r="T19" i="3"/>
  <c r="T61" i="3" s="1"/>
  <c r="T4" i="3"/>
  <c r="T29" i="3"/>
  <c r="T27" i="3"/>
  <c r="T33" i="3" s="1"/>
  <c r="T38" i="3" s="1"/>
  <c r="T20" i="3"/>
  <c r="T10" i="3"/>
  <c r="T6" i="3"/>
  <c r="T28" i="3"/>
  <c r="T34" i="3" s="1"/>
  <c r="T39" i="3" s="1"/>
  <c r="T26" i="3"/>
  <c r="T9" i="3"/>
  <c r="Q48" i="3"/>
  <c r="P43" i="3"/>
  <c r="Q52" i="3"/>
  <c r="Q42" i="3"/>
  <c r="C12" i="4"/>
  <c r="Q46" i="3"/>
  <c r="Q45" i="3"/>
  <c r="N11" i="5"/>
  <c r="S67" i="3"/>
  <c r="S61" i="3"/>
  <c r="S71" i="3" l="1"/>
  <c r="P50" i="3"/>
  <c r="P92" i="3"/>
  <c r="C47" i="4"/>
  <c r="T32" i="3"/>
  <c r="T35" i="3" s="1"/>
  <c r="T63" i="3" s="1"/>
  <c r="T11" i="6"/>
  <c r="R55" i="3"/>
  <c r="R41" i="3"/>
  <c r="T65" i="3"/>
  <c r="T66" i="3" s="1"/>
  <c r="T23" i="3"/>
  <c r="T68" i="3" s="1"/>
  <c r="T71" i="3" s="1"/>
  <c r="U5" i="6"/>
  <c r="U95" i="3"/>
  <c r="U70" i="3"/>
  <c r="U5" i="5"/>
  <c r="U88" i="3"/>
  <c r="U18" i="5" s="1"/>
  <c r="U19" i="5" s="1"/>
  <c r="U31" i="3"/>
  <c r="U18" i="3"/>
  <c r="U24" i="3"/>
  <c r="U75" i="3" s="1"/>
  <c r="U15" i="5" s="1"/>
  <c r="U16" i="5" s="1"/>
  <c r="U19" i="3"/>
  <c r="U6" i="3"/>
  <c r="U29" i="3"/>
  <c r="U4" i="3"/>
  <c r="V5" i="3"/>
  <c r="U30" i="3"/>
  <c r="U21" i="3"/>
  <c r="U27" i="3"/>
  <c r="U33" i="3" s="1"/>
  <c r="U38" i="3" s="1"/>
  <c r="U9" i="3"/>
  <c r="U28" i="3"/>
  <c r="U34" i="3" s="1"/>
  <c r="U39" i="3" s="1"/>
  <c r="U22" i="3"/>
  <c r="U67" i="3" s="1"/>
  <c r="U26" i="3"/>
  <c r="U32" i="3" s="1"/>
  <c r="U20" i="3"/>
  <c r="U10" i="3"/>
  <c r="T13" i="3"/>
  <c r="T14" i="3"/>
  <c r="T12" i="3"/>
  <c r="T15" i="3"/>
  <c r="O58" i="3"/>
  <c r="S64" i="3"/>
  <c r="S72" i="3" s="1"/>
  <c r="T81" i="3"/>
  <c r="S37" i="3"/>
  <c r="R40" i="3"/>
  <c r="T6" i="5"/>
  <c r="T6" i="6"/>
  <c r="T62" i="3"/>
  <c r="T64" i="3" s="1"/>
  <c r="T72" i="3" s="1"/>
  <c r="N74" i="3"/>
  <c r="N59" i="3"/>
  <c r="Q53" i="3"/>
  <c r="Q47" i="3"/>
  <c r="Q50" i="3" s="1"/>
  <c r="Q92" i="3" s="1"/>
  <c r="M74" i="3"/>
  <c r="M59" i="3"/>
  <c r="T4" i="6"/>
  <c r="T4" i="5"/>
  <c r="J5" i="7"/>
  <c r="P86" i="3"/>
  <c r="P10" i="6" s="1"/>
  <c r="P54" i="3"/>
  <c r="P57" i="3" s="1"/>
  <c r="R48" i="3"/>
  <c r="Q43" i="3"/>
  <c r="R52" i="3"/>
  <c r="R42" i="3"/>
  <c r="R46" i="3"/>
  <c r="R45" i="3"/>
  <c r="S19" i="6"/>
  <c r="O17" i="6"/>
  <c r="O12" i="5"/>
  <c r="N17" i="6"/>
  <c r="N12" i="5"/>
  <c r="U61" i="3" l="1"/>
  <c r="P85" i="3"/>
  <c r="P87" i="3" s="1"/>
  <c r="P16" i="6" s="1"/>
  <c r="P58" i="3"/>
  <c r="T16" i="3"/>
  <c r="U4" i="5"/>
  <c r="U4" i="6"/>
  <c r="S48" i="3"/>
  <c r="R43" i="3"/>
  <c r="S52" i="3"/>
  <c r="S42" i="3"/>
  <c r="S46" i="3"/>
  <c r="S45" i="3"/>
  <c r="R53" i="3"/>
  <c r="R47" i="3"/>
  <c r="R49" i="3" s="1"/>
  <c r="V5" i="6"/>
  <c r="V5" i="5"/>
  <c r="V70" i="3"/>
  <c r="V88" i="3"/>
  <c r="V18" i="5" s="1"/>
  <c r="V19" i="5" s="1"/>
  <c r="V31" i="3"/>
  <c r="V95" i="3"/>
  <c r="V18" i="3"/>
  <c r="V24" i="3"/>
  <c r="V75" i="3" s="1"/>
  <c r="V15" i="5" s="1"/>
  <c r="V16" i="5" s="1"/>
  <c r="V19" i="3"/>
  <c r="V61" i="3" s="1"/>
  <c r="V6" i="3"/>
  <c r="V30" i="3"/>
  <c r="V29" i="3"/>
  <c r="V20" i="3"/>
  <c r="W5" i="3"/>
  <c r="V4" i="3"/>
  <c r="V21" i="3"/>
  <c r="V10" i="3"/>
  <c r="V27" i="3"/>
  <c r="V33" i="3" s="1"/>
  <c r="V38" i="3" s="1"/>
  <c r="V22" i="3"/>
  <c r="V26" i="3"/>
  <c r="V32" i="3" s="1"/>
  <c r="V28" i="3"/>
  <c r="V34" i="3" s="1"/>
  <c r="V39" i="3" s="1"/>
  <c r="V9" i="3"/>
  <c r="U6" i="5"/>
  <c r="U6" i="6"/>
  <c r="U65" i="3"/>
  <c r="U66" i="3" s="1"/>
  <c r="U23" i="3"/>
  <c r="U68" i="3" s="1"/>
  <c r="U71" i="3" s="1"/>
  <c r="U11" i="6"/>
  <c r="P11" i="5"/>
  <c r="BO10" i="6"/>
  <c r="S55" i="3"/>
  <c r="S41" i="3"/>
  <c r="U81" i="3"/>
  <c r="T37" i="3"/>
  <c r="S40" i="3"/>
  <c r="U62" i="3"/>
  <c r="Q49" i="3"/>
  <c r="U35" i="3"/>
  <c r="U63" i="3" s="1"/>
  <c r="U15" i="3"/>
  <c r="U13" i="3"/>
  <c r="U14" i="3"/>
  <c r="U12" i="3"/>
  <c r="U16" i="3" s="1"/>
  <c r="T19" i="6"/>
  <c r="O74" i="3"/>
  <c r="O59" i="3"/>
  <c r="U56" i="3"/>
  <c r="R50" i="3" l="1"/>
  <c r="R92" i="3" s="1"/>
  <c r="U64" i="3"/>
  <c r="U72" i="3"/>
  <c r="S53" i="3"/>
  <c r="S47" i="3"/>
  <c r="T55" i="3"/>
  <c r="T41" i="3"/>
  <c r="S50" i="3"/>
  <c r="S92" i="3" s="1"/>
  <c r="S49" i="3"/>
  <c r="U37" i="3"/>
  <c r="T40" i="3"/>
  <c r="V35" i="3"/>
  <c r="V63" i="3" s="1"/>
  <c r="R86" i="3"/>
  <c r="R10" i="6" s="1"/>
  <c r="R54" i="3"/>
  <c r="R57" i="3" s="1"/>
  <c r="R85" i="3" s="1"/>
  <c r="R87" i="3" s="1"/>
  <c r="R16" i="6" s="1"/>
  <c r="V4" i="5"/>
  <c r="V4" i="6"/>
  <c r="S43" i="3"/>
  <c r="T45" i="3"/>
  <c r="T52" i="3"/>
  <c r="T42" i="3"/>
  <c r="T48" i="3"/>
  <c r="T46" i="3"/>
  <c r="V11" i="6"/>
  <c r="P74" i="3"/>
  <c r="P59" i="3"/>
  <c r="V67" i="3"/>
  <c r="U19" i="6"/>
  <c r="V62" i="3"/>
  <c r="P17" i="6"/>
  <c r="BO16" i="6"/>
  <c r="P12" i="5"/>
  <c r="V81" i="3"/>
  <c r="W5" i="6"/>
  <c r="W5" i="5"/>
  <c r="W70" i="3"/>
  <c r="W95" i="3"/>
  <c r="W31" i="3"/>
  <c r="W24" i="3"/>
  <c r="W75" i="3" s="1"/>
  <c r="W15" i="5" s="1"/>
  <c r="W16" i="5" s="1"/>
  <c r="W19" i="3"/>
  <c r="W30" i="3"/>
  <c r="W29" i="3"/>
  <c r="W26" i="3"/>
  <c r="W4" i="3"/>
  <c r="W21" i="3"/>
  <c r="W27" i="3"/>
  <c r="W33" i="3" s="1"/>
  <c r="W38" i="3" s="1"/>
  <c r="W9" i="3"/>
  <c r="W88" i="3"/>
  <c r="W18" i="5" s="1"/>
  <c r="W19" i="5" s="1"/>
  <c r="W10" i="3"/>
  <c r="W20" i="3"/>
  <c r="W18" i="3"/>
  <c r="W28" i="3"/>
  <c r="W34" i="3" s="1"/>
  <c r="W39" i="3" s="1"/>
  <c r="X5" i="3"/>
  <c r="W22" i="3"/>
  <c r="W6" i="3"/>
  <c r="V6" i="6"/>
  <c r="V6" i="5"/>
  <c r="V65" i="3"/>
  <c r="V66" i="3" s="1"/>
  <c r="V23" i="3"/>
  <c r="V68" i="3" s="1"/>
  <c r="V13" i="3"/>
  <c r="V14" i="3"/>
  <c r="V12" i="3"/>
  <c r="V15" i="3"/>
  <c r="V56" i="3"/>
  <c r="Q86" i="3"/>
  <c r="Q10" i="6" s="1"/>
  <c r="Q11" i="5" s="1"/>
  <c r="Q54" i="3"/>
  <c r="Q57" i="3" s="1"/>
  <c r="Q85" i="3" s="1"/>
  <c r="Q87" i="3" s="1"/>
  <c r="Q16" i="6" s="1"/>
  <c r="W61" i="3" l="1"/>
  <c r="V64" i="3"/>
  <c r="W62" i="3"/>
  <c r="Q17" i="6"/>
  <c r="Q12" i="5"/>
  <c r="W65" i="3"/>
  <c r="W66" i="3" s="1"/>
  <c r="W23" i="3"/>
  <c r="W68" i="3" s="1"/>
  <c r="W11" i="6"/>
  <c r="R11" i="5"/>
  <c r="W14" i="3"/>
  <c r="W13" i="3"/>
  <c r="W12" i="3"/>
  <c r="W15" i="3"/>
  <c r="T50" i="3"/>
  <c r="T92" i="3" s="1"/>
  <c r="S86" i="3"/>
  <c r="S10" i="6" s="1"/>
  <c r="S11" i="5" s="1"/>
  <c r="S54" i="3"/>
  <c r="S57" i="3" s="1"/>
  <c r="S85" i="3" s="1"/>
  <c r="S87" i="3" s="1"/>
  <c r="S16" i="6" s="1"/>
  <c r="U45" i="3"/>
  <c r="T43" i="3"/>
  <c r="U46" i="3"/>
  <c r="U42" i="3"/>
  <c r="U52" i="3"/>
  <c r="U48" i="3"/>
  <c r="W81" i="3"/>
  <c r="U55" i="3"/>
  <c r="U41" i="3"/>
  <c r="V16" i="3"/>
  <c r="V37" i="3"/>
  <c r="U40" i="3"/>
  <c r="X5" i="6"/>
  <c r="X5" i="5"/>
  <c r="X70" i="3"/>
  <c r="X88" i="3"/>
  <c r="X18" i="5" s="1"/>
  <c r="X19" i="5" s="1"/>
  <c r="X95" i="3"/>
  <c r="X24" i="3"/>
  <c r="X75" i="3" s="1"/>
  <c r="X15" i="5" s="1"/>
  <c r="X16" i="5" s="1"/>
  <c r="X19" i="3"/>
  <c r="X6" i="3"/>
  <c r="X30" i="3"/>
  <c r="X29" i="3"/>
  <c r="X20" i="3"/>
  <c r="X62" i="3" s="1"/>
  <c r="X9" i="3"/>
  <c r="X31" i="3"/>
  <c r="X4" i="3"/>
  <c r="X21" i="3"/>
  <c r="X27" i="3"/>
  <c r="X33" i="3" s="1"/>
  <c r="X38" i="3" s="1"/>
  <c r="X10" i="3"/>
  <c r="X26" i="3"/>
  <c r="X32" i="3" s="1"/>
  <c r="Y5" i="3"/>
  <c r="X22" i="3"/>
  <c r="X18" i="3"/>
  <c r="X28" i="3"/>
  <c r="X34" i="3" s="1"/>
  <c r="X39" i="3" s="1"/>
  <c r="W56" i="3"/>
  <c r="W4" i="5"/>
  <c r="W4" i="6"/>
  <c r="T53" i="3"/>
  <c r="T47" i="3"/>
  <c r="T49" i="3" s="1"/>
  <c r="V19" i="6"/>
  <c r="V71" i="3"/>
  <c r="V72" i="3" s="1"/>
  <c r="R17" i="6"/>
  <c r="R12" i="5"/>
  <c r="W32" i="3"/>
  <c r="W35" i="3" s="1"/>
  <c r="W63" i="3" s="1"/>
  <c r="W64" i="3" s="1"/>
  <c r="BO17" i="6"/>
  <c r="W6" i="6"/>
  <c r="W6" i="5"/>
  <c r="Q58" i="3"/>
  <c r="W67" i="3"/>
  <c r="R58" i="3"/>
  <c r="S58" i="3" l="1"/>
  <c r="S74" i="3" s="1"/>
  <c r="T86" i="3"/>
  <c r="T10" i="6" s="1"/>
  <c r="T11" i="5" s="1"/>
  <c r="T54" i="3"/>
  <c r="T57" i="3" s="1"/>
  <c r="T85" i="3" s="1"/>
  <c r="T87" i="3" s="1"/>
  <c r="T16" i="6" s="1"/>
  <c r="T58" i="3"/>
  <c r="T74" i="3" s="1"/>
  <c r="X6" i="6"/>
  <c r="X6" i="5"/>
  <c r="X14" i="3"/>
  <c r="X12" i="3"/>
  <c r="X15" i="3"/>
  <c r="X13" i="3"/>
  <c r="V45" i="3"/>
  <c r="U43" i="3"/>
  <c r="V42" i="3"/>
  <c r="V48" i="3"/>
  <c r="V52" i="3"/>
  <c r="V46" i="3"/>
  <c r="W16" i="3"/>
  <c r="S12" i="5"/>
  <c r="S17" i="6"/>
  <c r="X35" i="3"/>
  <c r="X63" i="3" s="1"/>
  <c r="W19" i="6"/>
  <c r="X56" i="3"/>
  <c r="S59" i="3"/>
  <c r="X65" i="3"/>
  <c r="X66" i="3" s="1"/>
  <c r="X23" i="3"/>
  <c r="X68" i="3" s="1"/>
  <c r="Y5" i="6"/>
  <c r="Y5" i="5"/>
  <c r="Y88" i="3"/>
  <c r="Y18" i="5" s="1"/>
  <c r="Y19" i="5" s="1"/>
  <c r="Y70" i="3"/>
  <c r="Y24" i="3"/>
  <c r="Y75" i="3" s="1"/>
  <c r="Y15" i="5" s="1"/>
  <c r="Y16" i="5" s="1"/>
  <c r="Y19" i="3"/>
  <c r="Y94" i="3"/>
  <c r="Y30" i="3"/>
  <c r="Y29" i="3"/>
  <c r="Y20" i="3"/>
  <c r="Y62" i="3" s="1"/>
  <c r="Y9" i="3"/>
  <c r="Y26" i="3"/>
  <c r="Y32" i="3" s="1"/>
  <c r="Y31" i="3"/>
  <c r="Y21" i="3"/>
  <c r="Y27" i="3"/>
  <c r="Y33" i="3" s="1"/>
  <c r="Y38" i="3" s="1"/>
  <c r="Y10" i="3"/>
  <c r="Y4" i="3"/>
  <c r="Y28" i="3"/>
  <c r="Y34" i="3" s="1"/>
  <c r="Y39" i="3" s="1"/>
  <c r="Y6" i="3"/>
  <c r="Z5" i="3"/>
  <c r="Y22" i="3"/>
  <c r="Y18" i="3"/>
  <c r="X81" i="3"/>
  <c r="W71" i="3"/>
  <c r="W72" i="3" s="1"/>
  <c r="Q74" i="3"/>
  <c r="Q59" i="3"/>
  <c r="V55" i="3"/>
  <c r="V41" i="3"/>
  <c r="X61" i="3"/>
  <c r="X11" i="6"/>
  <c r="X67" i="3"/>
  <c r="U53" i="3"/>
  <c r="U47" i="3"/>
  <c r="U49" i="3" s="1"/>
  <c r="R74" i="3"/>
  <c r="R59" i="3"/>
  <c r="X4" i="6"/>
  <c r="X4" i="5"/>
  <c r="V40" i="3"/>
  <c r="W37" i="3"/>
  <c r="Y35" i="3" l="1"/>
  <c r="Y63" i="3" s="1"/>
  <c r="U54" i="3"/>
  <c r="U57" i="3" s="1"/>
  <c r="U85" i="3" s="1"/>
  <c r="U87" i="3" s="1"/>
  <c r="U16" i="6" s="1"/>
  <c r="U86" i="3"/>
  <c r="U10" i="6" s="1"/>
  <c r="U11" i="5" s="1"/>
  <c r="W55" i="3"/>
  <c r="W41" i="3"/>
  <c r="V53" i="3"/>
  <c r="V47" i="3"/>
  <c r="Y61" i="3"/>
  <c r="Y64" i="3" s="1"/>
  <c r="X71" i="3"/>
  <c r="Z5" i="6"/>
  <c r="Z88" i="3"/>
  <c r="Z18" i="5" s="1"/>
  <c r="Z19" i="5" s="1"/>
  <c r="Z5" i="5"/>
  <c r="Z70" i="3"/>
  <c r="Z94" i="3"/>
  <c r="Z30" i="3"/>
  <c r="Z29" i="3"/>
  <c r="Z20" i="3"/>
  <c r="Z26" i="3"/>
  <c r="Z32" i="3" s="1"/>
  <c r="Z31" i="3"/>
  <c r="Z21" i="3"/>
  <c r="Z10" i="3"/>
  <c r="Z24" i="3"/>
  <c r="Z75" i="3" s="1"/>
  <c r="Z15" i="5" s="1"/>
  <c r="Z16" i="5" s="1"/>
  <c r="Z19" i="3"/>
  <c r="Z4" i="3"/>
  <c r="Z27" i="3"/>
  <c r="Z33" i="3" s="1"/>
  <c r="Z38" i="3" s="1"/>
  <c r="Z28" i="3"/>
  <c r="Z34" i="3" s="1"/>
  <c r="Z39" i="3" s="1"/>
  <c r="Z9" i="3"/>
  <c r="Z22" i="3"/>
  <c r="Z18" i="3"/>
  <c r="AA5" i="3"/>
  <c r="Z6" i="3"/>
  <c r="T12" i="5"/>
  <c r="T17" i="6"/>
  <c r="Y13" i="3"/>
  <c r="Y12" i="3"/>
  <c r="Y15" i="3"/>
  <c r="Y14" i="3"/>
  <c r="X16" i="3"/>
  <c r="Y67" i="3"/>
  <c r="X19" i="6"/>
  <c r="X64" i="3"/>
  <c r="T59" i="3"/>
  <c r="Y4" i="6"/>
  <c r="Y4" i="5"/>
  <c r="V49" i="3"/>
  <c r="V50" i="3"/>
  <c r="V92" i="3" s="1"/>
  <c r="Y81" i="3"/>
  <c r="Y65" i="3"/>
  <c r="Y66" i="3" s="1"/>
  <c r="Y23" i="3"/>
  <c r="Y68" i="3" s="1"/>
  <c r="Y11" i="6"/>
  <c r="Y6" i="6"/>
  <c r="Y6" i="5"/>
  <c r="U50" i="3"/>
  <c r="U92" i="3" s="1"/>
  <c r="W40" i="3"/>
  <c r="X37" i="3"/>
  <c r="Y56" i="3"/>
  <c r="W45" i="3"/>
  <c r="V43" i="3"/>
  <c r="W52" i="3"/>
  <c r="W48" i="3"/>
  <c r="W42" i="3"/>
  <c r="W46" i="3"/>
  <c r="Z61" i="3" l="1"/>
  <c r="Z81" i="3"/>
  <c r="X72" i="3"/>
  <c r="X55" i="3"/>
  <c r="X41" i="3"/>
  <c r="Z35" i="3"/>
  <c r="Z63" i="3" s="1"/>
  <c r="Z6" i="6"/>
  <c r="Z6" i="5"/>
  <c r="Y19" i="6"/>
  <c r="AA5" i="6"/>
  <c r="AA88" i="3"/>
  <c r="AA18" i="5" s="1"/>
  <c r="AA19" i="5" s="1"/>
  <c r="AA29" i="3"/>
  <c r="AA94" i="3"/>
  <c r="AA30" i="3"/>
  <c r="AA20" i="3"/>
  <c r="AA62" i="3" s="1"/>
  <c r="AA9" i="3"/>
  <c r="AA26" i="3"/>
  <c r="AA32" i="3" s="1"/>
  <c r="AA31" i="3"/>
  <c r="AA21" i="3"/>
  <c r="AA10" i="3"/>
  <c r="AA24" i="3"/>
  <c r="AA75" i="3" s="1"/>
  <c r="AA15" i="5" s="1"/>
  <c r="AA16" i="5" s="1"/>
  <c r="AA70" i="3"/>
  <c r="AA19" i="3"/>
  <c r="AA4" i="3"/>
  <c r="AA28" i="3"/>
  <c r="AA34" i="3" s="1"/>
  <c r="AA39" i="3" s="1"/>
  <c r="AA27" i="3"/>
  <c r="AA33" i="3" s="1"/>
  <c r="AA38" i="3" s="1"/>
  <c r="AA6" i="3"/>
  <c r="AA18" i="3"/>
  <c r="AA22" i="3"/>
  <c r="AB5" i="3"/>
  <c r="AA5" i="5"/>
  <c r="Z14" i="3"/>
  <c r="Z12" i="3"/>
  <c r="Z15" i="3"/>
  <c r="Z13" i="3"/>
  <c r="Z4" i="6"/>
  <c r="Z4" i="5"/>
  <c r="X40" i="3"/>
  <c r="Y37" i="3"/>
  <c r="V54" i="3"/>
  <c r="V57" i="3" s="1"/>
  <c r="V85" i="3" s="1"/>
  <c r="V87" i="3" s="1"/>
  <c r="V16" i="6" s="1"/>
  <c r="V86" i="3"/>
  <c r="V10" i="6" s="1"/>
  <c r="V11" i="5" s="1"/>
  <c r="Z62" i="3"/>
  <c r="Z65" i="3"/>
  <c r="Z66" i="3" s="1"/>
  <c r="Z23" i="3"/>
  <c r="Z68" i="3" s="1"/>
  <c r="U12" i="5"/>
  <c r="U17" i="6"/>
  <c r="W53" i="3"/>
  <c r="W47" i="3"/>
  <c r="W49" i="3" s="1"/>
  <c r="Y16" i="3"/>
  <c r="Z56" i="3"/>
  <c r="Z11" i="6"/>
  <c r="X46" i="3"/>
  <c r="W43" i="3"/>
  <c r="X45" i="3"/>
  <c r="X52" i="3"/>
  <c r="X48" i="3"/>
  <c r="X42" i="3"/>
  <c r="Y71" i="3"/>
  <c r="Y72" i="3" s="1"/>
  <c r="Z67" i="3"/>
  <c r="U58" i="3"/>
  <c r="Z71" i="3" l="1"/>
  <c r="AA61" i="3"/>
  <c r="AA56" i="3"/>
  <c r="W86" i="3"/>
  <c r="W10" i="6" s="1"/>
  <c r="W11" i="5" s="1"/>
  <c r="W54" i="3"/>
  <c r="W57" i="3" s="1"/>
  <c r="Y40" i="3"/>
  <c r="Z37" i="3"/>
  <c r="AA11" i="6"/>
  <c r="U74" i="3"/>
  <c r="U59" i="3"/>
  <c r="AA81" i="3"/>
  <c r="AA35" i="3"/>
  <c r="AA63" i="3" s="1"/>
  <c r="AA64" i="3" s="1"/>
  <c r="AA67" i="3"/>
  <c r="Z19" i="6"/>
  <c r="AA65" i="3"/>
  <c r="AA66" i="3" s="1"/>
  <c r="AA23" i="3"/>
  <c r="AA68" i="3" s="1"/>
  <c r="Z64" i="3"/>
  <c r="Z72" i="3" s="1"/>
  <c r="Y55" i="3"/>
  <c r="Y41" i="3"/>
  <c r="AA4" i="6"/>
  <c r="AA4" i="5"/>
  <c r="Z16" i="3"/>
  <c r="Y46" i="3"/>
  <c r="Y45" i="3"/>
  <c r="Y52" i="3"/>
  <c r="X43" i="3"/>
  <c r="Y42" i="3"/>
  <c r="Y48" i="3"/>
  <c r="W50" i="3"/>
  <c r="W92" i="3" s="1"/>
  <c r="AA15" i="3"/>
  <c r="AA14" i="3"/>
  <c r="AA13" i="3"/>
  <c r="AA12" i="3"/>
  <c r="X53" i="3"/>
  <c r="X47" i="3"/>
  <c r="X49" i="3" s="1"/>
  <c r="AB5" i="6"/>
  <c r="AB88" i="3"/>
  <c r="AB18" i="5" s="1"/>
  <c r="AB19" i="5" s="1"/>
  <c r="AB70" i="3"/>
  <c r="AB29" i="3"/>
  <c r="AB94" i="3"/>
  <c r="AB30" i="3"/>
  <c r="AB20" i="3"/>
  <c r="AB26" i="3"/>
  <c r="AB32" i="3" s="1"/>
  <c r="AB31" i="3"/>
  <c r="AB21" i="3"/>
  <c r="AB10" i="3"/>
  <c r="AB27" i="3"/>
  <c r="AB33" i="3" s="1"/>
  <c r="AB38" i="3" s="1"/>
  <c r="AB22" i="3"/>
  <c r="AB19" i="3"/>
  <c r="AB61" i="3" s="1"/>
  <c r="AB4" i="3"/>
  <c r="AB9" i="3"/>
  <c r="AB28" i="3"/>
  <c r="AB34" i="3" s="1"/>
  <c r="AB39" i="3" s="1"/>
  <c r="AB6" i="3"/>
  <c r="AC5" i="3"/>
  <c r="AB24" i="3"/>
  <c r="AB75" i="3" s="1"/>
  <c r="AB15" i="5" s="1"/>
  <c r="AB16" i="5" s="1"/>
  <c r="AB18" i="3"/>
  <c r="AB5" i="5"/>
  <c r="V12" i="5"/>
  <c r="V17" i="6"/>
  <c r="V58" i="3"/>
  <c r="AA6" i="5"/>
  <c r="AA6" i="6"/>
  <c r="AA16" i="3" l="1"/>
  <c r="X86" i="3"/>
  <c r="X10" i="6" s="1"/>
  <c r="X11" i="5" s="1"/>
  <c r="X54" i="3"/>
  <c r="X57" i="3"/>
  <c r="X85" i="3" s="1"/>
  <c r="X87" i="3" s="1"/>
  <c r="X16" i="6" s="1"/>
  <c r="AA72" i="3"/>
  <c r="W85" i="3"/>
  <c r="W87" i="3" s="1"/>
  <c r="W16" i="6" s="1"/>
  <c r="W58" i="3"/>
  <c r="D7" i="4"/>
  <c r="D8" i="4"/>
  <c r="AC5" i="6"/>
  <c r="AC88" i="3"/>
  <c r="AC18" i="5" s="1"/>
  <c r="AC19" i="5" s="1"/>
  <c r="AC70" i="3"/>
  <c r="AC29" i="3"/>
  <c r="AC94" i="3"/>
  <c r="AC26" i="3"/>
  <c r="AC32" i="3" s="1"/>
  <c r="AC31" i="3"/>
  <c r="AC21" i="3"/>
  <c r="AC56" i="3" s="1"/>
  <c r="AC28" i="3"/>
  <c r="AC34" i="3" s="1"/>
  <c r="AC39" i="3" s="1"/>
  <c r="AC9" i="3"/>
  <c r="AC6" i="3"/>
  <c r="AC18" i="3"/>
  <c r="AC30" i="3"/>
  <c r="AC27" i="3"/>
  <c r="AC33" i="3" s="1"/>
  <c r="AC38" i="3" s="1"/>
  <c r="AC20" i="3"/>
  <c r="AC62" i="3" s="1"/>
  <c r="AC10" i="3"/>
  <c r="AC22" i="3"/>
  <c r="AC67" i="3" s="1"/>
  <c r="AC24" i="3"/>
  <c r="AC75" i="3" s="1"/>
  <c r="AC15" i="5" s="1"/>
  <c r="AC16" i="5" s="1"/>
  <c r="AD5" i="3"/>
  <c r="AC19" i="3"/>
  <c r="AC5" i="5"/>
  <c r="AC4" i="3"/>
  <c r="AB56" i="3"/>
  <c r="AB15" i="3"/>
  <c r="AB14" i="3"/>
  <c r="AB13" i="3"/>
  <c r="AB12" i="3"/>
  <c r="V74" i="3"/>
  <c r="V59" i="3"/>
  <c r="AB4" i="5"/>
  <c r="AB4" i="6"/>
  <c r="AB11" i="6"/>
  <c r="AB62" i="3"/>
  <c r="AA19" i="6"/>
  <c r="AB35" i="3"/>
  <c r="AB63" i="3" s="1"/>
  <c r="AB65" i="3"/>
  <c r="AB66" i="3" s="1"/>
  <c r="AB23" i="3"/>
  <c r="Z46" i="3"/>
  <c r="Z45" i="3"/>
  <c r="Z52" i="3"/>
  <c r="Y43" i="3"/>
  <c r="Z42" i="3"/>
  <c r="Z48" i="3"/>
  <c r="AB6" i="6"/>
  <c r="AB6" i="5"/>
  <c r="Y53" i="3"/>
  <c r="Y47" i="3"/>
  <c r="Y50" i="3"/>
  <c r="Y92" i="3" s="1"/>
  <c r="Y49" i="3"/>
  <c r="AB67" i="3"/>
  <c r="X50" i="3"/>
  <c r="X92" i="3" s="1"/>
  <c r="AA37" i="3"/>
  <c r="Z40" i="3"/>
  <c r="Z55" i="3"/>
  <c r="Z41" i="3"/>
  <c r="AA71" i="3"/>
  <c r="AB16" i="3" l="1"/>
  <c r="AB64" i="3"/>
  <c r="AA55" i="3"/>
  <c r="AA41" i="3"/>
  <c r="AB68" i="3"/>
  <c r="D49" i="4"/>
  <c r="AB37" i="3"/>
  <c r="AA40" i="3"/>
  <c r="AB71" i="3"/>
  <c r="AB72" i="3" s="1"/>
  <c r="AB19" i="6"/>
  <c r="AC65" i="3"/>
  <c r="AC66" i="3" s="1"/>
  <c r="AC23" i="3"/>
  <c r="AC68" i="3" s="1"/>
  <c r="AC35" i="3"/>
  <c r="AC63" i="3" s="1"/>
  <c r="AC71" i="3"/>
  <c r="Y86" i="3"/>
  <c r="Y10" i="6" s="1"/>
  <c r="Y11" i="5" s="1"/>
  <c r="Y54" i="3"/>
  <c r="Y57" i="3" s="1"/>
  <c r="X12" i="5"/>
  <c r="X17" i="6"/>
  <c r="AC4" i="5"/>
  <c r="AC4" i="6"/>
  <c r="AC6" i="6"/>
  <c r="AC6" i="5"/>
  <c r="AC14" i="3"/>
  <c r="AC13" i="3"/>
  <c r="AC12" i="3"/>
  <c r="AC15" i="3"/>
  <c r="W12" i="5"/>
  <c r="W17" i="6"/>
  <c r="BP11" i="6"/>
  <c r="AC11" i="6"/>
  <c r="AA46" i="3"/>
  <c r="AA45" i="3"/>
  <c r="AA52" i="3"/>
  <c r="Z43" i="3"/>
  <c r="AA42" i="3"/>
  <c r="AA48" i="3"/>
  <c r="AC61" i="3"/>
  <c r="X58" i="3"/>
  <c r="AC81" i="3"/>
  <c r="W74" i="3"/>
  <c r="W59" i="3"/>
  <c r="Z53" i="3"/>
  <c r="Z47" i="3"/>
  <c r="Z50" i="3"/>
  <c r="Z92" i="3" s="1"/>
  <c r="Z49" i="3"/>
  <c r="AD5" i="6"/>
  <c r="AD88" i="3"/>
  <c r="AD18" i="5" s="1"/>
  <c r="AD19" i="5" s="1"/>
  <c r="AD70" i="3"/>
  <c r="AD29" i="3"/>
  <c r="AD5" i="5"/>
  <c r="AD27" i="3"/>
  <c r="AD33" i="3" s="1"/>
  <c r="AD38" i="3" s="1"/>
  <c r="AD94" i="3"/>
  <c r="AD31" i="3"/>
  <c r="AD21" i="3"/>
  <c r="AD10" i="3"/>
  <c r="AD22" i="3"/>
  <c r="AD28" i="3"/>
  <c r="AD34" i="3" s="1"/>
  <c r="AD39" i="3" s="1"/>
  <c r="AD30" i="3"/>
  <c r="AD26" i="3"/>
  <c r="AD32" i="3" s="1"/>
  <c r="AD6" i="3"/>
  <c r="AD9" i="3"/>
  <c r="AD18" i="3"/>
  <c r="AE5" i="3"/>
  <c r="AD20" i="3"/>
  <c r="AD62" i="3" s="1"/>
  <c r="AD4" i="3"/>
  <c r="AD19" i="3"/>
  <c r="AD24" i="3"/>
  <c r="AD75" i="3" s="1"/>
  <c r="AD15" i="5" s="1"/>
  <c r="AD16" i="5" s="1"/>
  <c r="AC64" i="3" l="1"/>
  <c r="AC72" i="3" s="1"/>
  <c r="AD61" i="3"/>
  <c r="Y85" i="3"/>
  <c r="Y87" i="3" s="1"/>
  <c r="Y16" i="6" s="1"/>
  <c r="Y58" i="3"/>
  <c r="AC19" i="6"/>
  <c r="BP19" i="6"/>
  <c r="AB46" i="3"/>
  <c r="AB52" i="3"/>
  <c r="AB45" i="3"/>
  <c r="AA43" i="3"/>
  <c r="AB42" i="3"/>
  <c r="AB48" i="3"/>
  <c r="AE5" i="6"/>
  <c r="AE88" i="3"/>
  <c r="AE18" i="5" s="1"/>
  <c r="AE19" i="5" s="1"/>
  <c r="AE70" i="3"/>
  <c r="AE94" i="3"/>
  <c r="AE30" i="3"/>
  <c r="AE28" i="3"/>
  <c r="AE34" i="3" s="1"/>
  <c r="AE39" i="3" s="1"/>
  <c r="AE31" i="3"/>
  <c r="AE21" i="3"/>
  <c r="AE29" i="3"/>
  <c r="AE22" i="3"/>
  <c r="AE4" i="3"/>
  <c r="AE27" i="3"/>
  <c r="AE33" i="3" s="1"/>
  <c r="AE38" i="3" s="1"/>
  <c r="AE26" i="3"/>
  <c r="AE32" i="3" s="1"/>
  <c r="AE18" i="3"/>
  <c r="AE10" i="3"/>
  <c r="AE20" i="3"/>
  <c r="AE62" i="3" s="1"/>
  <c r="AE9" i="3"/>
  <c r="AE6" i="3"/>
  <c r="AF5" i="3"/>
  <c r="AE5" i="5"/>
  <c r="AE24" i="3"/>
  <c r="AE75" i="3" s="1"/>
  <c r="AE15" i="5" s="1"/>
  <c r="AE16" i="5" s="1"/>
  <c r="AE19" i="3"/>
  <c r="B7" i="7"/>
  <c r="AB55" i="3"/>
  <c r="AB41" i="3"/>
  <c r="AD64" i="3"/>
  <c r="AD4" i="5"/>
  <c r="AD4" i="6"/>
  <c r="AA47" i="3"/>
  <c r="AA50" i="3" s="1"/>
  <c r="AA92" i="3" s="1"/>
  <c r="AA53" i="3"/>
  <c r="AD6" i="6"/>
  <c r="AD6" i="5"/>
  <c r="AD67" i="3"/>
  <c r="AD81" i="3"/>
  <c r="X74" i="3"/>
  <c r="X59" i="3"/>
  <c r="AD23" i="3"/>
  <c r="AD68" i="3" s="1"/>
  <c r="AD65" i="3"/>
  <c r="AD66" i="3" s="1"/>
  <c r="AD15" i="3"/>
  <c r="AD14" i="3"/>
  <c r="AD13" i="3"/>
  <c r="AD12" i="3"/>
  <c r="AC37" i="3"/>
  <c r="D6" i="4"/>
  <c r="AB40" i="3"/>
  <c r="Z86" i="3"/>
  <c r="Z10" i="6" s="1"/>
  <c r="Z11" i="5" s="1"/>
  <c r="Z54" i="3"/>
  <c r="Z57" i="3" s="1"/>
  <c r="Z85" i="3" s="1"/>
  <c r="Z87" i="3" s="1"/>
  <c r="Z16" i="6" s="1"/>
  <c r="AD11" i="6"/>
  <c r="AD56" i="3"/>
  <c r="AC16" i="3"/>
  <c r="AD35" i="3"/>
  <c r="AD63" i="3" s="1"/>
  <c r="AA49" i="3" l="1"/>
  <c r="AE35" i="3"/>
  <c r="AE63" i="3" s="1"/>
  <c r="AE11" i="6"/>
  <c r="AE4" i="6"/>
  <c r="AE4" i="5"/>
  <c r="AD71" i="3"/>
  <c r="AD72" i="3" s="1"/>
  <c r="AA86" i="3"/>
  <c r="AA10" i="6" s="1"/>
  <c r="AA11" i="5" s="1"/>
  <c r="AA54" i="3"/>
  <c r="AA57" i="3" s="1"/>
  <c r="AA85" i="3" s="1"/>
  <c r="AA87" i="3" s="1"/>
  <c r="AA16" i="6" s="1"/>
  <c r="AE65" i="3"/>
  <c r="AE66" i="3" s="1"/>
  <c r="AE23" i="3"/>
  <c r="AE68" i="3" s="1"/>
  <c r="D44" i="5"/>
  <c r="AC52" i="3"/>
  <c r="AC42" i="3"/>
  <c r="AC46" i="3"/>
  <c r="AB43" i="3"/>
  <c r="D12" i="4"/>
  <c r="AC48" i="3"/>
  <c r="AC45" i="3"/>
  <c r="AE67" i="3"/>
  <c r="AE81" i="3"/>
  <c r="Z17" i="6"/>
  <c r="Z12" i="5"/>
  <c r="Z58" i="3"/>
  <c r="AB50" i="3"/>
  <c r="AB49" i="3"/>
  <c r="AC41" i="3"/>
  <c r="AC55" i="3"/>
  <c r="D9" i="4"/>
  <c r="AE61" i="3"/>
  <c r="AE64" i="3" s="1"/>
  <c r="AD16" i="3"/>
  <c r="Y74" i="3"/>
  <c r="Y59" i="3"/>
  <c r="AE15" i="3"/>
  <c r="AE12" i="3"/>
  <c r="AE14" i="3"/>
  <c r="AE13" i="3"/>
  <c r="AB47" i="3"/>
  <c r="AB53" i="3"/>
  <c r="AE56" i="3"/>
  <c r="AD37" i="3"/>
  <c r="AC40" i="3"/>
  <c r="AF5" i="6"/>
  <c r="AF94" i="3"/>
  <c r="AF5" i="5"/>
  <c r="AF88" i="3"/>
  <c r="AF18" i="5" s="1"/>
  <c r="AF19" i="5" s="1"/>
  <c r="AF30" i="3"/>
  <c r="AF28" i="3"/>
  <c r="AF34" i="3" s="1"/>
  <c r="AF39" i="3" s="1"/>
  <c r="AF29" i="3"/>
  <c r="AF70" i="3"/>
  <c r="AF22" i="3"/>
  <c r="AF27" i="3"/>
  <c r="AF33" i="3" s="1"/>
  <c r="AF38" i="3" s="1"/>
  <c r="AF31" i="3"/>
  <c r="AF18" i="3"/>
  <c r="AF10" i="3"/>
  <c r="AF26" i="3"/>
  <c r="AF32" i="3" s="1"/>
  <c r="AF9" i="3"/>
  <c r="AF6" i="3"/>
  <c r="AF20" i="3"/>
  <c r="AF62" i="3" s="1"/>
  <c r="AG5" i="3"/>
  <c r="AF21" i="3"/>
  <c r="AF56" i="3" s="1"/>
  <c r="AF24" i="3"/>
  <c r="AF75" i="3" s="1"/>
  <c r="AF15" i="5" s="1"/>
  <c r="AF16" i="5" s="1"/>
  <c r="AF4" i="3"/>
  <c r="AF19" i="3"/>
  <c r="AF61" i="3" s="1"/>
  <c r="Y12" i="5"/>
  <c r="Y17" i="6"/>
  <c r="AD19" i="6"/>
  <c r="AE6" i="6"/>
  <c r="AE6" i="5"/>
  <c r="AF35" i="3" l="1"/>
  <c r="AF63" i="3" s="1"/>
  <c r="AF67" i="3"/>
  <c r="AF65" i="3"/>
  <c r="AF66" i="3" s="1"/>
  <c r="AF23" i="3"/>
  <c r="AF68" i="3" s="1"/>
  <c r="AD55" i="3"/>
  <c r="AD41" i="3"/>
  <c r="AF81" i="3"/>
  <c r="Z74" i="3"/>
  <c r="Z59" i="3"/>
  <c r="AF64" i="3"/>
  <c r="AE19" i="6"/>
  <c r="AC50" i="3"/>
  <c r="AC92" i="3" s="1"/>
  <c r="J6" i="7"/>
  <c r="B6" i="7"/>
  <c r="B8" i="7" s="1"/>
  <c r="B9" i="7" s="1"/>
  <c r="AB86" i="3"/>
  <c r="AB10" i="6" s="1"/>
  <c r="AB54" i="3"/>
  <c r="AB57" i="3" s="1"/>
  <c r="AB92" i="3"/>
  <c r="D47" i="4"/>
  <c r="AA17" i="6"/>
  <c r="AA12" i="5"/>
  <c r="AA58" i="3"/>
  <c r="AG5" i="6"/>
  <c r="AG5" i="5"/>
  <c r="AG94" i="3"/>
  <c r="AG88" i="3"/>
  <c r="AG18" i="5" s="1"/>
  <c r="AG19" i="5" s="1"/>
  <c r="AG30" i="3"/>
  <c r="AG70" i="3"/>
  <c r="AG28" i="3"/>
  <c r="AG34" i="3" s="1"/>
  <c r="AG39" i="3" s="1"/>
  <c r="AG29" i="3"/>
  <c r="AG22" i="3"/>
  <c r="AG67" i="3" s="1"/>
  <c r="AG4" i="3"/>
  <c r="AG27" i="3"/>
  <c r="AG33" i="3" s="1"/>
  <c r="AG38" i="3" s="1"/>
  <c r="AG10" i="3"/>
  <c r="AH5" i="3"/>
  <c r="AG9" i="3"/>
  <c r="AG6" i="3"/>
  <c r="AG20" i="3"/>
  <c r="AG62" i="3" s="1"/>
  <c r="AG18" i="3"/>
  <c r="AG26" i="3"/>
  <c r="AG32" i="3" s="1"/>
  <c r="AG24" i="3"/>
  <c r="AG75" i="3" s="1"/>
  <c r="AG15" i="5" s="1"/>
  <c r="AG16" i="5" s="1"/>
  <c r="AG19" i="3"/>
  <c r="AG21" i="3"/>
  <c r="AG31" i="3"/>
  <c r="AD52" i="3"/>
  <c r="AD42" i="3"/>
  <c r="AD46" i="3"/>
  <c r="AD48" i="3"/>
  <c r="AD45" i="3"/>
  <c r="AC43" i="3"/>
  <c r="AF11" i="6"/>
  <c r="AC47" i="3"/>
  <c r="AC49" i="3" s="1"/>
  <c r="AC53" i="3"/>
  <c r="AF4" i="6"/>
  <c r="AF4" i="5"/>
  <c r="AF6" i="6"/>
  <c r="AF6" i="5"/>
  <c r="AD40" i="3"/>
  <c r="AE37" i="3"/>
  <c r="AF71" i="3"/>
  <c r="AE16" i="3"/>
  <c r="AE71" i="3"/>
  <c r="AE72" i="3" s="1"/>
  <c r="AF12" i="3"/>
  <c r="AF15" i="3"/>
  <c r="AF13" i="3"/>
  <c r="AF14" i="3"/>
  <c r="AB85" i="3" l="1"/>
  <c r="AB87" i="3" s="1"/>
  <c r="AB16" i="6" s="1"/>
  <c r="AB58" i="3"/>
  <c r="AC86" i="3"/>
  <c r="AC10" i="6" s="1"/>
  <c r="AC11" i="5" s="1"/>
  <c r="AC54" i="3"/>
  <c r="AC57" i="3" s="1"/>
  <c r="AC85" i="3" s="1"/>
  <c r="AC87" i="3" s="1"/>
  <c r="AC16" i="6" s="1"/>
  <c r="AC58" i="3"/>
  <c r="AC74" i="3" s="1"/>
  <c r="AG65" i="3"/>
  <c r="AG66" i="3" s="1"/>
  <c r="AG23" i="3"/>
  <c r="AG68" i="3" s="1"/>
  <c r="AG71" i="3"/>
  <c r="AB11" i="5"/>
  <c r="BP10" i="6"/>
  <c r="AG4" i="6"/>
  <c r="AG4" i="5"/>
  <c r="AG56" i="3"/>
  <c r="AG15" i="3"/>
  <c r="AG14" i="3"/>
  <c r="AG12" i="3"/>
  <c r="AG13" i="3"/>
  <c r="AF72" i="3"/>
  <c r="AG61" i="3"/>
  <c r="AG6" i="6"/>
  <c r="AG6" i="5"/>
  <c r="AE52" i="3"/>
  <c r="AE42" i="3"/>
  <c r="AE46" i="3"/>
  <c r="AE45" i="3"/>
  <c r="AD43" i="3"/>
  <c r="AE48" i="3"/>
  <c r="AH5" i="6"/>
  <c r="AH5" i="5"/>
  <c r="AH94" i="3"/>
  <c r="AH30" i="3"/>
  <c r="AH70" i="3"/>
  <c r="AH88" i="3"/>
  <c r="AH18" i="5" s="1"/>
  <c r="AH19" i="5" s="1"/>
  <c r="AH28" i="3"/>
  <c r="AH34" i="3" s="1"/>
  <c r="AH39" i="3" s="1"/>
  <c r="AH29" i="3"/>
  <c r="AH22" i="3"/>
  <c r="AH27" i="3"/>
  <c r="AH33" i="3" s="1"/>
  <c r="AH38" i="3" s="1"/>
  <c r="AI5" i="3"/>
  <c r="AH18" i="3"/>
  <c r="AH9" i="3"/>
  <c r="AH6" i="3"/>
  <c r="AH20" i="3"/>
  <c r="AH62" i="3" s="1"/>
  <c r="AH26" i="3"/>
  <c r="AH32" i="3" s="1"/>
  <c r="AH19" i="3"/>
  <c r="AH61" i="3" s="1"/>
  <c r="AH31" i="3"/>
  <c r="AH24" i="3"/>
  <c r="AH75" i="3" s="1"/>
  <c r="AH15" i="5" s="1"/>
  <c r="AH16" i="5" s="1"/>
  <c r="AH10" i="3"/>
  <c r="AH4" i="3"/>
  <c r="AH21" i="3"/>
  <c r="AA74" i="3"/>
  <c r="AA59" i="3"/>
  <c r="AE40" i="3"/>
  <c r="AF37" i="3"/>
  <c r="AG81" i="3"/>
  <c r="AE55" i="3"/>
  <c r="AE41" i="3"/>
  <c r="AF16" i="3"/>
  <c r="AD47" i="3"/>
  <c r="AD49" i="3" s="1"/>
  <c r="AD53" i="3"/>
  <c r="AF19" i="6"/>
  <c r="AG11" i="6"/>
  <c r="AG35" i="3"/>
  <c r="AG63" i="3" s="1"/>
  <c r="AH67" i="3" l="1"/>
  <c r="AG64" i="3"/>
  <c r="AG72" i="3" s="1"/>
  <c r="AD50" i="3"/>
  <c r="AD92" i="3" s="1"/>
  <c r="AH56" i="3"/>
  <c r="AD86" i="3"/>
  <c r="AD10" i="6" s="1"/>
  <c r="AD11" i="5" s="1"/>
  <c r="AD54" i="3"/>
  <c r="AD57" i="3"/>
  <c r="AD85" i="3" s="1"/>
  <c r="AD87" i="3" s="1"/>
  <c r="AD16" i="6" s="1"/>
  <c r="AG19" i="6"/>
  <c r="AH4" i="6"/>
  <c r="AH4" i="5"/>
  <c r="AH81" i="3"/>
  <c r="AH35" i="3"/>
  <c r="AH63" i="3" s="1"/>
  <c r="AH64" i="3" s="1"/>
  <c r="AG16" i="3"/>
  <c r="AC59" i="3"/>
  <c r="AC17" i="6"/>
  <c r="AC12" i="5"/>
  <c r="AF40" i="3"/>
  <c r="AG37" i="3"/>
  <c r="AH12" i="3"/>
  <c r="AH13" i="3"/>
  <c r="AH14" i="3"/>
  <c r="AH15" i="3"/>
  <c r="AE47" i="3"/>
  <c r="AE49" i="3" s="1"/>
  <c r="AE53" i="3"/>
  <c r="AF55" i="3"/>
  <c r="AF41" i="3"/>
  <c r="AH11" i="6"/>
  <c r="AH6" i="6"/>
  <c r="AH6" i="5"/>
  <c r="AH65" i="3"/>
  <c r="AH66" i="3" s="1"/>
  <c r="AH23" i="3"/>
  <c r="AH68" i="3" s="1"/>
  <c r="AH71" i="3" s="1"/>
  <c r="AI5" i="6"/>
  <c r="AI5" i="5"/>
  <c r="AI94" i="3"/>
  <c r="AI70" i="3"/>
  <c r="AI31" i="3"/>
  <c r="AI29" i="3"/>
  <c r="AI88" i="3"/>
  <c r="AI18" i="5" s="1"/>
  <c r="AI19" i="5" s="1"/>
  <c r="AI27" i="3"/>
  <c r="AI33" i="3" s="1"/>
  <c r="AI38" i="3" s="1"/>
  <c r="AI18" i="3"/>
  <c r="AI28" i="3"/>
  <c r="AI34" i="3" s="1"/>
  <c r="AI39" i="3" s="1"/>
  <c r="AI24" i="3"/>
  <c r="AI75" i="3" s="1"/>
  <c r="AI15" i="5" s="1"/>
  <c r="AI16" i="5" s="1"/>
  <c r="AI30" i="3"/>
  <c r="AI6" i="3"/>
  <c r="AI20" i="3"/>
  <c r="AI62" i="3" s="1"/>
  <c r="AI26" i="3"/>
  <c r="AI32" i="3" s="1"/>
  <c r="AI35" i="3" s="1"/>
  <c r="AI63" i="3" s="1"/>
  <c r="AJ5" i="3"/>
  <c r="AI22" i="3"/>
  <c r="AI67" i="3" s="1"/>
  <c r="AI10" i="3"/>
  <c r="AI21" i="3"/>
  <c r="AI56" i="3" s="1"/>
  <c r="AI9" i="3"/>
  <c r="AI4" i="3"/>
  <c r="AI19" i="3"/>
  <c r="AI61" i="3" s="1"/>
  <c r="AF52" i="3"/>
  <c r="AF42" i="3"/>
  <c r="AF48" i="3"/>
  <c r="AF45" i="3"/>
  <c r="AE43" i="3"/>
  <c r="AF46" i="3"/>
  <c r="B10" i="7"/>
  <c r="AB74" i="3"/>
  <c r="AB59" i="3"/>
  <c r="AB17" i="6"/>
  <c r="BP16" i="6"/>
  <c r="AB12" i="5"/>
  <c r="AH72" i="3" l="1"/>
  <c r="AE86" i="3"/>
  <c r="AE10" i="6" s="1"/>
  <c r="AE11" i="5" s="1"/>
  <c r="AE54" i="3"/>
  <c r="AE57" i="3" s="1"/>
  <c r="AE85" i="3" s="1"/>
  <c r="AE87" i="3" s="1"/>
  <c r="AE16" i="6" s="1"/>
  <c r="AE58" i="3"/>
  <c r="AE74" i="3" s="1"/>
  <c r="BP17" i="6"/>
  <c r="AI81" i="3"/>
  <c r="AI65" i="3"/>
  <c r="AI66" i="3" s="1"/>
  <c r="AI23" i="3"/>
  <c r="AI68" i="3" s="1"/>
  <c r="AI71" i="3" s="1"/>
  <c r="AD17" i="6"/>
  <c r="AD12" i="5"/>
  <c r="AG48" i="3"/>
  <c r="AG52" i="3"/>
  <c r="AF43" i="3"/>
  <c r="AG42" i="3"/>
  <c r="AG45" i="3"/>
  <c r="AG46" i="3"/>
  <c r="AJ5" i="6"/>
  <c r="AJ94" i="3"/>
  <c r="AJ5" i="5"/>
  <c r="AJ70" i="3"/>
  <c r="AJ31" i="3"/>
  <c r="AJ30" i="3"/>
  <c r="AJ29" i="3"/>
  <c r="AK5" i="3"/>
  <c r="AJ18" i="3"/>
  <c r="AJ28" i="3"/>
  <c r="AJ34" i="3" s="1"/>
  <c r="AJ39" i="3" s="1"/>
  <c r="AJ20" i="3"/>
  <c r="AJ27" i="3"/>
  <c r="AJ33" i="3" s="1"/>
  <c r="AJ38" i="3" s="1"/>
  <c r="AJ24" i="3"/>
  <c r="AJ75" i="3" s="1"/>
  <c r="AJ15" i="5" s="1"/>
  <c r="AJ16" i="5" s="1"/>
  <c r="AJ19" i="3"/>
  <c r="AJ26" i="3"/>
  <c r="AJ32" i="3" s="1"/>
  <c r="AJ35" i="3" s="1"/>
  <c r="AJ63" i="3" s="1"/>
  <c r="AJ88" i="3"/>
  <c r="AJ18" i="5" s="1"/>
  <c r="AJ19" i="5" s="1"/>
  <c r="AJ22" i="3"/>
  <c r="AJ4" i="3"/>
  <c r="AJ21" i="3"/>
  <c r="AJ10" i="3"/>
  <c r="AJ9" i="3"/>
  <c r="AJ6" i="3"/>
  <c r="B11" i="7"/>
  <c r="B12" i="7"/>
  <c r="AI6" i="6"/>
  <c r="AI6" i="5"/>
  <c r="AE50" i="3"/>
  <c r="AE92" i="3" s="1"/>
  <c r="AH19" i="6"/>
  <c r="AF50" i="3"/>
  <c r="AF92" i="3" s="1"/>
  <c r="AF49" i="3"/>
  <c r="AH16" i="3"/>
  <c r="AI64" i="3"/>
  <c r="AF47" i="3"/>
  <c r="AF53" i="3"/>
  <c r="AG40" i="3"/>
  <c r="AH37" i="3"/>
  <c r="AG55" i="3"/>
  <c r="AG41" i="3"/>
  <c r="AD58" i="3"/>
  <c r="AI4" i="6"/>
  <c r="AI4" i="5"/>
  <c r="AI13" i="3"/>
  <c r="AI15" i="3"/>
  <c r="AI12" i="3"/>
  <c r="AI14" i="3"/>
  <c r="AI11" i="6"/>
  <c r="AE59" i="3" l="1"/>
  <c r="AI16" i="3"/>
  <c r="AJ81" i="3"/>
  <c r="AJ67" i="3"/>
  <c r="AD74" i="3"/>
  <c r="AD59" i="3"/>
  <c r="AH48" i="3"/>
  <c r="AH52" i="3"/>
  <c r="AG43" i="3"/>
  <c r="AH45" i="3"/>
  <c r="AH46" i="3"/>
  <c r="AH42" i="3"/>
  <c r="AH40" i="3"/>
  <c r="AI37" i="3"/>
  <c r="AG53" i="3"/>
  <c r="AG47" i="3"/>
  <c r="AG49" i="3" s="1"/>
  <c r="AE17" i="6"/>
  <c r="AE12" i="5"/>
  <c r="AH55" i="3"/>
  <c r="AH41" i="3"/>
  <c r="AJ65" i="3"/>
  <c r="AJ66" i="3" s="1"/>
  <c r="AJ23" i="3"/>
  <c r="AJ68" i="3" s="1"/>
  <c r="AF86" i="3"/>
  <c r="AF10" i="6" s="1"/>
  <c r="AF11" i="5" s="1"/>
  <c r="AF54" i="3"/>
  <c r="AF57" i="3" s="1"/>
  <c r="AF85" i="3" s="1"/>
  <c r="AF87" i="3" s="1"/>
  <c r="AF16" i="6" s="1"/>
  <c r="AJ56" i="3"/>
  <c r="AJ62" i="3"/>
  <c r="AK5" i="6"/>
  <c r="AK94" i="3"/>
  <c r="AK5" i="5"/>
  <c r="AK70" i="3"/>
  <c r="AK31" i="3"/>
  <c r="AK30" i="3"/>
  <c r="AK18" i="3"/>
  <c r="AK28" i="3"/>
  <c r="AK34" i="3" s="1"/>
  <c r="AK39" i="3" s="1"/>
  <c r="AK24" i="3"/>
  <c r="AK75" i="3" s="1"/>
  <c r="AK15" i="5" s="1"/>
  <c r="AK16" i="5" s="1"/>
  <c r="AK19" i="3"/>
  <c r="AK6" i="3"/>
  <c r="AK27" i="3"/>
  <c r="AK33" i="3" s="1"/>
  <c r="AK38" i="3" s="1"/>
  <c r="AK29" i="3"/>
  <c r="AK22" i="3"/>
  <c r="AK26" i="3"/>
  <c r="AK32" i="3" s="1"/>
  <c r="AK88" i="3"/>
  <c r="AK18" i="5" s="1"/>
  <c r="AK19" i="5" s="1"/>
  <c r="AL5" i="3"/>
  <c r="AK21" i="3"/>
  <c r="AK4" i="3"/>
  <c r="AK20" i="3"/>
  <c r="AK10" i="3"/>
  <c r="AK9" i="3"/>
  <c r="AJ6" i="6"/>
  <c r="AJ6" i="5"/>
  <c r="AJ13" i="3"/>
  <c r="AJ14" i="3"/>
  <c r="AJ12" i="3"/>
  <c r="AJ15" i="3"/>
  <c r="AI19" i="6"/>
  <c r="AJ4" i="6"/>
  <c r="AJ4" i="5"/>
  <c r="AJ61" i="3"/>
  <c r="AJ64" i="3" s="1"/>
  <c r="F9" i="7"/>
  <c r="F13" i="7"/>
  <c r="F7" i="7"/>
  <c r="F28" i="7"/>
  <c r="F15" i="7"/>
  <c r="F21" i="7"/>
  <c r="F11" i="7"/>
  <c r="F27" i="7"/>
  <c r="F19" i="7"/>
  <c r="F18" i="7"/>
  <c r="B18" i="7"/>
  <c r="F10" i="7"/>
  <c r="F26" i="7"/>
  <c r="F25" i="7"/>
  <c r="F24" i="7"/>
  <c r="F12" i="7"/>
  <c r="F6" i="7"/>
  <c r="F16" i="7"/>
  <c r="F14" i="7"/>
  <c r="F29" i="7"/>
  <c r="F23" i="7"/>
  <c r="F22" i="7"/>
  <c r="F5" i="7"/>
  <c r="F20" i="7"/>
  <c r="F8" i="7"/>
  <c r="F17" i="7"/>
  <c r="AJ11" i="6"/>
  <c r="AI72" i="3"/>
  <c r="AK61" i="3" l="1"/>
  <c r="AG86" i="3"/>
  <c r="AG10" i="6" s="1"/>
  <c r="AG11" i="5" s="1"/>
  <c r="AG54" i="3"/>
  <c r="AG57" i="3" s="1"/>
  <c r="AG85" i="3" s="1"/>
  <c r="AG87" i="3" s="1"/>
  <c r="AG16" i="6" s="1"/>
  <c r="AK62" i="3"/>
  <c r="AJ71" i="3"/>
  <c r="AK81" i="3"/>
  <c r="AK35" i="3"/>
  <c r="AK63" i="3" s="1"/>
  <c r="AI55" i="3"/>
  <c r="AI41" i="3"/>
  <c r="AG50" i="3"/>
  <c r="AG92" i="3" s="1"/>
  <c r="AK6" i="6"/>
  <c r="AK6" i="5"/>
  <c r="AH53" i="3"/>
  <c r="AH47" i="3"/>
  <c r="AH50" i="3" s="1"/>
  <c r="AH92" i="3" s="1"/>
  <c r="AK65" i="3"/>
  <c r="AK66" i="3" s="1"/>
  <c r="AK23" i="3"/>
  <c r="AK68" i="3" s="1"/>
  <c r="AK12" i="3"/>
  <c r="AK15" i="3"/>
  <c r="AK14" i="3"/>
  <c r="AK13" i="3"/>
  <c r="AJ72" i="3"/>
  <c r="AK56" i="3"/>
  <c r="AL5" i="6"/>
  <c r="AL5" i="5"/>
  <c r="AL70" i="3"/>
  <c r="AL94" i="3"/>
  <c r="AL31" i="3"/>
  <c r="AL88" i="3"/>
  <c r="AL18" i="5" s="1"/>
  <c r="AL19" i="5" s="1"/>
  <c r="AL30" i="3"/>
  <c r="AL18" i="3"/>
  <c r="AL28" i="3"/>
  <c r="AL34" i="3" s="1"/>
  <c r="AL39" i="3" s="1"/>
  <c r="AL24" i="3"/>
  <c r="AL75" i="3" s="1"/>
  <c r="AL15" i="5" s="1"/>
  <c r="AL16" i="5" s="1"/>
  <c r="AL19" i="3"/>
  <c r="AL6" i="3"/>
  <c r="AL20" i="3"/>
  <c r="AL26" i="3"/>
  <c r="AL32" i="3" s="1"/>
  <c r="AM5" i="3"/>
  <c r="AL4" i="3"/>
  <c r="AL29" i="3"/>
  <c r="AL22" i="3"/>
  <c r="AL10" i="3"/>
  <c r="AL21" i="3"/>
  <c r="AL56" i="3" s="1"/>
  <c r="AL27" i="3"/>
  <c r="AL33" i="3" s="1"/>
  <c r="AL38" i="3" s="1"/>
  <c r="AL9" i="3"/>
  <c r="AK67" i="3"/>
  <c r="AK71" i="3" s="1"/>
  <c r="AK4" i="5"/>
  <c r="AK4" i="6"/>
  <c r="AJ19" i="6"/>
  <c r="AK11" i="6"/>
  <c r="AI40" i="3"/>
  <c r="AJ37" i="3"/>
  <c r="AJ16" i="3"/>
  <c r="AF17" i="6"/>
  <c r="AF12" i="5"/>
  <c r="AF58" i="3"/>
  <c r="AI48" i="3"/>
  <c r="AI52" i="3"/>
  <c r="AH43" i="3"/>
  <c r="AI46" i="3"/>
  <c r="AI45" i="3"/>
  <c r="AI42" i="3"/>
  <c r="AL62" i="3" l="1"/>
  <c r="AK64" i="3"/>
  <c r="AK72" i="3" s="1"/>
  <c r="AH49" i="3"/>
  <c r="AL61" i="3"/>
  <c r="AL35" i="3"/>
  <c r="AL63" i="3" s="1"/>
  <c r="AL6" i="5"/>
  <c r="AL6" i="6"/>
  <c r="AF74" i="3"/>
  <c r="AF59" i="3"/>
  <c r="AH86" i="3"/>
  <c r="AH10" i="6" s="1"/>
  <c r="AH11" i="5" s="1"/>
  <c r="AH54" i="3"/>
  <c r="AH57" i="3" s="1"/>
  <c r="AH85" i="3" s="1"/>
  <c r="AH87" i="3" s="1"/>
  <c r="AH16" i="6" s="1"/>
  <c r="AL64" i="3"/>
  <c r="AL72" i="3" s="1"/>
  <c r="AL13" i="3"/>
  <c r="AL14" i="3"/>
  <c r="AL15" i="3"/>
  <c r="AL12" i="3"/>
  <c r="AL16" i="3" s="1"/>
  <c r="AL11" i="6"/>
  <c r="AG17" i="6"/>
  <c r="AG12" i="5"/>
  <c r="AL65" i="3"/>
  <c r="AL66" i="3" s="1"/>
  <c r="AL23" i="3"/>
  <c r="AL68" i="3" s="1"/>
  <c r="AK16" i="3"/>
  <c r="AL67" i="3"/>
  <c r="AL71" i="3" s="1"/>
  <c r="AG58" i="3"/>
  <c r="AL81" i="3"/>
  <c r="AK19" i="6"/>
  <c r="AL4" i="6"/>
  <c r="AL4" i="5"/>
  <c r="AJ40" i="3"/>
  <c r="AK37" i="3"/>
  <c r="AJ55" i="3"/>
  <c r="AJ41" i="3"/>
  <c r="AJ52" i="3"/>
  <c r="AI43" i="3"/>
  <c r="AJ45" i="3"/>
  <c r="AJ48" i="3"/>
  <c r="AJ46" i="3"/>
  <c r="AJ42" i="3"/>
  <c r="AI53" i="3"/>
  <c r="AI47" i="3"/>
  <c r="AI49" i="3"/>
  <c r="AI50" i="3"/>
  <c r="AI92" i="3" s="1"/>
  <c r="AM5" i="6"/>
  <c r="AM70" i="3"/>
  <c r="AM94" i="3"/>
  <c r="AM88" i="3"/>
  <c r="AM18" i="5" s="1"/>
  <c r="AM19" i="5" s="1"/>
  <c r="AM30" i="3"/>
  <c r="AM28" i="3"/>
  <c r="AM34" i="3" s="1"/>
  <c r="AM39" i="3" s="1"/>
  <c r="AM24" i="3"/>
  <c r="AM75" i="3" s="1"/>
  <c r="AM15" i="5" s="1"/>
  <c r="AM16" i="5" s="1"/>
  <c r="AM19" i="3"/>
  <c r="AM26" i="3"/>
  <c r="AM32" i="3" s="1"/>
  <c r="AN5" i="3"/>
  <c r="AM4" i="3"/>
  <c r="AM21" i="3"/>
  <c r="AM56" i="3" s="1"/>
  <c r="AM29" i="3"/>
  <c r="AM22" i="3"/>
  <c r="AM18" i="3"/>
  <c r="AM5" i="5"/>
  <c r="AM10" i="3"/>
  <c r="AM9" i="3"/>
  <c r="AM6" i="3"/>
  <c r="AM20" i="3"/>
  <c r="AM62" i="3" s="1"/>
  <c r="AM27" i="3"/>
  <c r="AM33" i="3" s="1"/>
  <c r="AM38" i="3" s="1"/>
  <c r="AM31" i="3"/>
  <c r="AM35" i="3" l="1"/>
  <c r="AM63" i="3" s="1"/>
  <c r="AM67" i="3"/>
  <c r="AM61" i="3"/>
  <c r="AI54" i="3"/>
  <c r="AI57" i="3" s="1"/>
  <c r="AI86" i="3"/>
  <c r="AI10" i="6" s="1"/>
  <c r="AI11" i="5" s="1"/>
  <c r="AM4" i="6"/>
  <c r="AM4" i="5"/>
  <c r="AN5" i="6"/>
  <c r="AN70" i="3"/>
  <c r="AN94" i="3"/>
  <c r="AN5" i="5"/>
  <c r="AN88" i="3"/>
  <c r="AN18" i="5" s="1"/>
  <c r="AN19" i="5" s="1"/>
  <c r="AN31" i="3"/>
  <c r="AN24" i="3"/>
  <c r="AN75" i="3" s="1"/>
  <c r="AN15" i="5" s="1"/>
  <c r="AN16" i="5" s="1"/>
  <c r="AN19" i="3"/>
  <c r="AN6" i="3"/>
  <c r="AN20" i="3"/>
  <c r="AN9" i="3"/>
  <c r="AN26" i="3"/>
  <c r="AN32" i="3" s="1"/>
  <c r="AO5" i="3"/>
  <c r="AN29" i="3"/>
  <c r="AN4" i="3"/>
  <c r="AN22" i="3"/>
  <c r="AN67" i="3" s="1"/>
  <c r="AN18" i="3"/>
  <c r="AN21" i="3"/>
  <c r="AN56" i="3" s="1"/>
  <c r="AN28" i="3"/>
  <c r="AN34" i="3" s="1"/>
  <c r="AN39" i="3" s="1"/>
  <c r="AN10" i="3"/>
  <c r="AN30" i="3"/>
  <c r="AN27" i="3"/>
  <c r="AN33" i="3" s="1"/>
  <c r="AN38" i="3" s="1"/>
  <c r="AM64" i="3"/>
  <c r="AH58" i="3"/>
  <c r="AM6" i="6"/>
  <c r="AM6" i="5"/>
  <c r="AM65" i="3"/>
  <c r="AM66" i="3" s="1"/>
  <c r="AM23" i="3"/>
  <c r="AM68" i="3" s="1"/>
  <c r="AM71" i="3" s="1"/>
  <c r="AL19" i="6"/>
  <c r="AK45" i="3"/>
  <c r="AK48" i="3"/>
  <c r="AK42" i="3"/>
  <c r="AK52" i="3"/>
  <c r="AJ43" i="3"/>
  <c r="AK46" i="3"/>
  <c r="AH17" i="6"/>
  <c r="AH12" i="5"/>
  <c r="AJ50" i="3"/>
  <c r="AJ92" i="3" s="1"/>
  <c r="AJ49" i="3"/>
  <c r="AG74" i="3"/>
  <c r="AG59" i="3"/>
  <c r="AJ53" i="3"/>
  <c r="AJ47" i="3"/>
  <c r="AM14" i="3"/>
  <c r="AM15" i="3"/>
  <c r="AM13" i="3"/>
  <c r="AM12" i="3"/>
  <c r="AM16" i="3" s="1"/>
  <c r="AK40" i="3"/>
  <c r="AL37" i="3"/>
  <c r="AM81" i="3"/>
  <c r="AK41" i="3"/>
  <c r="AK55" i="3"/>
  <c r="AM11" i="6"/>
  <c r="E7" i="4" l="1"/>
  <c r="E8" i="4"/>
  <c r="AI85" i="3"/>
  <c r="AI87" i="3" s="1"/>
  <c r="AI16" i="6" s="1"/>
  <c r="AI58" i="3"/>
  <c r="AN35" i="3"/>
  <c r="AN63" i="3" s="1"/>
  <c r="AN14" i="3"/>
  <c r="AN13" i="3"/>
  <c r="AN15" i="3"/>
  <c r="AN12" i="3"/>
  <c r="AN16" i="3" s="1"/>
  <c r="AN62" i="3"/>
  <c r="AH74" i="3"/>
  <c r="AH59" i="3"/>
  <c r="AL55" i="3"/>
  <c r="AL41" i="3"/>
  <c r="AN65" i="3"/>
  <c r="AN66" i="3" s="1"/>
  <c r="AN23" i="3"/>
  <c r="AL40" i="3"/>
  <c r="AM37" i="3"/>
  <c r="AO5" i="6"/>
  <c r="AO5" i="5"/>
  <c r="AO94" i="3"/>
  <c r="AO70" i="3"/>
  <c r="AO88" i="3"/>
  <c r="AO18" i="5" s="1"/>
  <c r="AO19" i="5" s="1"/>
  <c r="AO31" i="3"/>
  <c r="AO24" i="3"/>
  <c r="AO75" i="3" s="1"/>
  <c r="AO15" i="5" s="1"/>
  <c r="AO16" i="5" s="1"/>
  <c r="AO19" i="3"/>
  <c r="AO20" i="3"/>
  <c r="AO62" i="3" s="1"/>
  <c r="AO9" i="3"/>
  <c r="AO26" i="3"/>
  <c r="AO32" i="3" s="1"/>
  <c r="AO21" i="3"/>
  <c r="AO56" i="3" s="1"/>
  <c r="AO29" i="3"/>
  <c r="AO22" i="3"/>
  <c r="AO67" i="3" s="1"/>
  <c r="AO18" i="3"/>
  <c r="AO28" i="3"/>
  <c r="AO34" i="3" s="1"/>
  <c r="AO39" i="3" s="1"/>
  <c r="AO4" i="3"/>
  <c r="AO10" i="3"/>
  <c r="AP5" i="3"/>
  <c r="AO6" i="3"/>
  <c r="AO30" i="3"/>
  <c r="AO27" i="3"/>
  <c r="AO33" i="3" s="1"/>
  <c r="AO38" i="3" s="1"/>
  <c r="AM72" i="3"/>
  <c r="AL45" i="3"/>
  <c r="AL48" i="3"/>
  <c r="AL42" i="3"/>
  <c r="AL52" i="3"/>
  <c r="AK43" i="3"/>
  <c r="AL46" i="3"/>
  <c r="AN61" i="3"/>
  <c r="AK53" i="3"/>
  <c r="AK47" i="3"/>
  <c r="AK50" i="3" s="1"/>
  <c r="AK92" i="3" s="1"/>
  <c r="AN11" i="6"/>
  <c r="AJ54" i="3"/>
  <c r="AJ57" i="3" s="1"/>
  <c r="AJ85" i="3" s="1"/>
  <c r="AJ87" i="3" s="1"/>
  <c r="AJ16" i="6" s="1"/>
  <c r="AJ86" i="3"/>
  <c r="AJ10" i="6" s="1"/>
  <c r="AJ11" i="5" s="1"/>
  <c r="AN4" i="6"/>
  <c r="AN4" i="5"/>
  <c r="AN6" i="6"/>
  <c r="AN6" i="5"/>
  <c r="AM19" i="6"/>
  <c r="AO61" i="3" l="1"/>
  <c r="AJ58" i="3"/>
  <c r="AJ74" i="3" s="1"/>
  <c r="AK49" i="3"/>
  <c r="AI74" i="3"/>
  <c r="AI59" i="3"/>
  <c r="AN19" i="6"/>
  <c r="AP5" i="5"/>
  <c r="AP94" i="3"/>
  <c r="AP5" i="6"/>
  <c r="AP70" i="3"/>
  <c r="AP28" i="3"/>
  <c r="AP34" i="3" s="1"/>
  <c r="AP39" i="3" s="1"/>
  <c r="AP88" i="3"/>
  <c r="AP18" i="5" s="1"/>
  <c r="AP19" i="5" s="1"/>
  <c r="AP31" i="3"/>
  <c r="AP20" i="3"/>
  <c r="AP26" i="3"/>
  <c r="AP32" i="3" s="1"/>
  <c r="AP22" i="3"/>
  <c r="AP18" i="3"/>
  <c r="AP4" i="3"/>
  <c r="AP10" i="3"/>
  <c r="AP21" i="3"/>
  <c r="AP24" i="3"/>
  <c r="AP75" i="3" s="1"/>
  <c r="AP15" i="5" s="1"/>
  <c r="AP16" i="5" s="1"/>
  <c r="AP19" i="3"/>
  <c r="AP61" i="3" s="1"/>
  <c r="AP9" i="3"/>
  <c r="AP30" i="3"/>
  <c r="AP29" i="3"/>
  <c r="AP6" i="3"/>
  <c r="AP27" i="3"/>
  <c r="AP33" i="3" s="1"/>
  <c r="AP38" i="3" s="1"/>
  <c r="AQ5" i="3"/>
  <c r="AO4" i="6"/>
  <c r="AO4" i="5"/>
  <c r="AN68" i="3"/>
  <c r="AN71" i="3" s="1"/>
  <c r="E49" i="4"/>
  <c r="AO35" i="3"/>
  <c r="AO63" i="3" s="1"/>
  <c r="AO64" i="3" s="1"/>
  <c r="AL53" i="3"/>
  <c r="AL47" i="3"/>
  <c r="AL50" i="3" s="1"/>
  <c r="AL92" i="3" s="1"/>
  <c r="BQ11" i="6"/>
  <c r="AO11" i="6"/>
  <c r="AO6" i="5"/>
  <c r="AO6" i="6"/>
  <c r="AO65" i="3"/>
  <c r="AO66" i="3" s="1"/>
  <c r="AO23" i="3"/>
  <c r="AO68" i="3" s="1"/>
  <c r="AO71" i="3" s="1"/>
  <c r="AN64" i="3"/>
  <c r="AM40" i="3"/>
  <c r="AN37" i="3"/>
  <c r="AM41" i="3"/>
  <c r="AM55" i="3"/>
  <c r="AI17" i="6"/>
  <c r="AI12" i="5"/>
  <c r="AJ59" i="3"/>
  <c r="AM45" i="3"/>
  <c r="AM48" i="3"/>
  <c r="AM42" i="3"/>
  <c r="AM52" i="3"/>
  <c r="AL43" i="3"/>
  <c r="AM46" i="3"/>
  <c r="AO14" i="3"/>
  <c r="AO15" i="3"/>
  <c r="AO13" i="3"/>
  <c r="AO12" i="3"/>
  <c r="AO16" i="3" s="1"/>
  <c r="AO81" i="3"/>
  <c r="AJ17" i="6"/>
  <c r="AJ12" i="5"/>
  <c r="AO72" i="3" l="1"/>
  <c r="AN40" i="3"/>
  <c r="E6" i="4"/>
  <c r="AO37" i="3"/>
  <c r="AP65" i="3"/>
  <c r="AP66" i="3" s="1"/>
  <c r="AP23" i="3"/>
  <c r="AP68" i="3" s="1"/>
  <c r="AP35" i="3"/>
  <c r="AP63" i="3" s="1"/>
  <c r="AK54" i="3"/>
  <c r="AK57" i="3" s="1"/>
  <c r="AK85" i="3" s="1"/>
  <c r="AK87" i="3" s="1"/>
  <c r="AK16" i="6" s="1"/>
  <c r="AK86" i="3"/>
  <c r="AK10" i="6" s="1"/>
  <c r="AK11" i="5" s="1"/>
  <c r="AL49" i="3"/>
  <c r="AO19" i="6"/>
  <c r="BQ19" i="6"/>
  <c r="AM49" i="3"/>
  <c r="AM50" i="3"/>
  <c r="AM92" i="3" s="1"/>
  <c r="AP4" i="6"/>
  <c r="AP4" i="5"/>
  <c r="AN46" i="3"/>
  <c r="AN42" i="3"/>
  <c r="AN52" i="3"/>
  <c r="AN48" i="3"/>
  <c r="AM43" i="3"/>
  <c r="AN45" i="3"/>
  <c r="AP62" i="3"/>
  <c r="AP64" i="3" s="1"/>
  <c r="AP6" i="5"/>
  <c r="AP6" i="6"/>
  <c r="AP14" i="3"/>
  <c r="AP15" i="3"/>
  <c r="AP13" i="3"/>
  <c r="AP12" i="3"/>
  <c r="AP16" i="3" s="1"/>
  <c r="AP56" i="3"/>
  <c r="AN41" i="3"/>
  <c r="AN55" i="3"/>
  <c r="AP81" i="3"/>
  <c r="AN72" i="3"/>
  <c r="AP67" i="3"/>
  <c r="AM53" i="3"/>
  <c r="AM47" i="3"/>
  <c r="AP11" i="6"/>
  <c r="AQ5" i="5"/>
  <c r="AQ5" i="6"/>
  <c r="AQ88" i="3"/>
  <c r="AQ18" i="5" s="1"/>
  <c r="AQ19" i="5" s="1"/>
  <c r="AQ94" i="3"/>
  <c r="AQ29" i="3"/>
  <c r="AQ31" i="3"/>
  <c r="AQ27" i="3"/>
  <c r="AQ33" i="3" s="1"/>
  <c r="AQ38" i="3" s="1"/>
  <c r="AQ20" i="3"/>
  <c r="AQ62" i="3" s="1"/>
  <c r="AQ9" i="3"/>
  <c r="AQ26" i="3"/>
  <c r="AQ32" i="3" s="1"/>
  <c r="AQ21" i="3"/>
  <c r="AQ10" i="3"/>
  <c r="AQ70" i="3"/>
  <c r="AQ28" i="3"/>
  <c r="AQ34" i="3" s="1"/>
  <c r="AQ39" i="3" s="1"/>
  <c r="AQ4" i="3"/>
  <c r="AQ24" i="3"/>
  <c r="AQ75" i="3" s="1"/>
  <c r="AQ15" i="5" s="1"/>
  <c r="AQ16" i="5" s="1"/>
  <c r="AQ19" i="3"/>
  <c r="AQ30" i="3"/>
  <c r="AQ6" i="3"/>
  <c r="AQ18" i="3"/>
  <c r="AR5" i="3"/>
  <c r="AQ22" i="3"/>
  <c r="AQ35" i="3" l="1"/>
  <c r="AQ63" i="3" s="1"/>
  <c r="AP71" i="3"/>
  <c r="AP72" i="3" s="1"/>
  <c r="AQ56" i="3"/>
  <c r="AQ15" i="3"/>
  <c r="AQ12" i="3"/>
  <c r="AQ14" i="3"/>
  <c r="AQ13" i="3"/>
  <c r="AN53" i="3"/>
  <c r="AN47" i="3"/>
  <c r="AN49" i="3" s="1"/>
  <c r="AQ61" i="3"/>
  <c r="AQ64" i="3" s="1"/>
  <c r="AL54" i="3"/>
  <c r="AL57" i="3" s="1"/>
  <c r="AL85" i="3" s="1"/>
  <c r="AL87" i="3" s="1"/>
  <c r="AL16" i="6" s="1"/>
  <c r="AL86" i="3"/>
  <c r="AL10" i="6" s="1"/>
  <c r="AL11" i="5" s="1"/>
  <c r="AQ67" i="3"/>
  <c r="AQ71" i="3" s="1"/>
  <c r="AK17" i="6"/>
  <c r="AK12" i="5"/>
  <c r="AR5" i="5"/>
  <c r="AR5" i="6"/>
  <c r="AR88" i="3"/>
  <c r="AR18" i="5" s="1"/>
  <c r="AR19" i="5" s="1"/>
  <c r="AR94" i="3"/>
  <c r="AR29" i="3"/>
  <c r="AR27" i="3"/>
  <c r="AR33" i="3" s="1"/>
  <c r="AR38" i="3" s="1"/>
  <c r="AR20" i="3"/>
  <c r="AR62" i="3" s="1"/>
  <c r="AR26" i="3"/>
  <c r="AR32" i="3" s="1"/>
  <c r="AR21" i="3"/>
  <c r="AR56" i="3" s="1"/>
  <c r="AR10" i="3"/>
  <c r="AR70" i="3"/>
  <c r="AR22" i="3"/>
  <c r="AR67" i="3" s="1"/>
  <c r="AR24" i="3"/>
  <c r="AR75" i="3" s="1"/>
  <c r="AR15" i="5" s="1"/>
  <c r="AR16" i="5" s="1"/>
  <c r="AR19" i="3"/>
  <c r="AR4" i="3"/>
  <c r="AR28" i="3"/>
  <c r="AR34" i="3" s="1"/>
  <c r="AR39" i="3" s="1"/>
  <c r="AR6" i="3"/>
  <c r="AS5" i="3"/>
  <c r="AR30" i="3"/>
  <c r="AR9" i="3"/>
  <c r="AR31" i="3"/>
  <c r="AR18" i="3"/>
  <c r="E12" i="4"/>
  <c r="AO46" i="3"/>
  <c r="AO52" i="3"/>
  <c r="AN43" i="3"/>
  <c r="AO48" i="3"/>
  <c r="AO45" i="3"/>
  <c r="AO42" i="3"/>
  <c r="AO40" i="3"/>
  <c r="AP37" i="3"/>
  <c r="E9" i="4"/>
  <c r="AO55" i="3"/>
  <c r="AO41" i="3"/>
  <c r="AK58" i="3"/>
  <c r="AQ6" i="5"/>
  <c r="AQ6" i="6"/>
  <c r="AM54" i="3"/>
  <c r="AM57" i="3" s="1"/>
  <c r="AM86" i="3"/>
  <c r="AM10" i="6" s="1"/>
  <c r="AQ65" i="3"/>
  <c r="AQ66" i="3" s="1"/>
  <c r="AQ23" i="3"/>
  <c r="AQ68" i="3" s="1"/>
  <c r="AQ4" i="6"/>
  <c r="AQ4" i="5"/>
  <c r="AQ11" i="6"/>
  <c r="AQ81" i="3"/>
  <c r="AP19" i="6"/>
  <c r="AN50" i="3" l="1"/>
  <c r="AR35" i="3"/>
  <c r="AR63" i="3" s="1"/>
  <c r="AM85" i="3"/>
  <c r="AM87" i="3" s="1"/>
  <c r="AM16" i="6" s="1"/>
  <c r="AM58" i="3"/>
  <c r="AQ19" i="6"/>
  <c r="AK74" i="3"/>
  <c r="AK59" i="3"/>
  <c r="AL12" i="5"/>
  <c r="AL17" i="6"/>
  <c r="AN92" i="3"/>
  <c r="E47" i="4"/>
  <c r="J7" i="7"/>
  <c r="AN86" i="3"/>
  <c r="AN10" i="6" s="1"/>
  <c r="AN54" i="3"/>
  <c r="AN57" i="3" s="1"/>
  <c r="AN85" i="3" s="1"/>
  <c r="AN87" i="3" s="1"/>
  <c r="AN16" i="6" s="1"/>
  <c r="AR81" i="3"/>
  <c r="AR11" i="6"/>
  <c r="AP55" i="3"/>
  <c r="AP41" i="3"/>
  <c r="AM11" i="5"/>
  <c r="AP46" i="3"/>
  <c r="AP52" i="3"/>
  <c r="AO43" i="3"/>
  <c r="AP48" i="3"/>
  <c r="AP45" i="3"/>
  <c r="AP42" i="3"/>
  <c r="AS5" i="6"/>
  <c r="AS88" i="3"/>
  <c r="AS18" i="5" s="1"/>
  <c r="AS19" i="5" s="1"/>
  <c r="AS94" i="3"/>
  <c r="AS29" i="3"/>
  <c r="AS27" i="3"/>
  <c r="AS33" i="3" s="1"/>
  <c r="AS38" i="3" s="1"/>
  <c r="AS5" i="5"/>
  <c r="AS26" i="3"/>
  <c r="AS32" i="3" s="1"/>
  <c r="AS21" i="3"/>
  <c r="AS70" i="3"/>
  <c r="AS9" i="3"/>
  <c r="AS4" i="3"/>
  <c r="AS19" i="3"/>
  <c r="AS61" i="3" s="1"/>
  <c r="AS10" i="3"/>
  <c r="AS28" i="3"/>
  <c r="AS34" i="3" s="1"/>
  <c r="AS39" i="3" s="1"/>
  <c r="AS24" i="3"/>
  <c r="AS75" i="3" s="1"/>
  <c r="AS15" i="5" s="1"/>
  <c r="AS16" i="5" s="1"/>
  <c r="AS30" i="3"/>
  <c r="AS6" i="3"/>
  <c r="AS31" i="3"/>
  <c r="AT5" i="3"/>
  <c r="AS20" i="3"/>
  <c r="AS18" i="3"/>
  <c r="AS22" i="3"/>
  <c r="AQ16" i="3"/>
  <c r="AO53" i="3"/>
  <c r="AO47" i="3"/>
  <c r="AO50" i="3" s="1"/>
  <c r="AO92" i="3" s="1"/>
  <c r="AR6" i="6"/>
  <c r="AR6" i="5"/>
  <c r="AQ72" i="3"/>
  <c r="AQ37" i="3"/>
  <c r="AP40" i="3"/>
  <c r="AR4" i="6"/>
  <c r="AR4" i="5"/>
  <c r="AL58" i="3"/>
  <c r="AR65" i="3"/>
  <c r="AR66" i="3" s="1"/>
  <c r="AR23" i="3"/>
  <c r="AR68" i="3" s="1"/>
  <c r="AR71" i="3" s="1"/>
  <c r="AR15" i="3"/>
  <c r="AR14" i="3"/>
  <c r="AR12" i="3"/>
  <c r="AR16" i="3" s="1"/>
  <c r="AR13" i="3"/>
  <c r="AR61" i="3"/>
  <c r="AR64" i="3" s="1"/>
  <c r="AR72" i="3" l="1"/>
  <c r="AS56" i="3"/>
  <c r="AS35" i="3"/>
  <c r="AS63" i="3" s="1"/>
  <c r="AS81" i="3"/>
  <c r="AS4" i="6"/>
  <c r="AS4" i="5"/>
  <c r="AS14" i="3"/>
  <c r="AS13" i="3"/>
  <c r="AS12" i="3"/>
  <c r="AS15" i="3"/>
  <c r="AP50" i="3"/>
  <c r="AP92" i="3" s="1"/>
  <c r="AP49" i="3"/>
  <c r="AT5" i="6"/>
  <c r="AT88" i="3"/>
  <c r="AT18" i="5" s="1"/>
  <c r="AT19" i="5" s="1"/>
  <c r="AT29" i="3"/>
  <c r="AT5" i="5"/>
  <c r="AT27" i="3"/>
  <c r="AT33" i="3" s="1"/>
  <c r="AT38" i="3" s="1"/>
  <c r="AT30" i="3"/>
  <c r="AT21" i="3"/>
  <c r="AT10" i="3"/>
  <c r="AT70" i="3"/>
  <c r="AT22" i="3"/>
  <c r="AT67" i="3" s="1"/>
  <c r="AT4" i="3"/>
  <c r="AT9" i="3"/>
  <c r="AT28" i="3"/>
  <c r="AT34" i="3" s="1"/>
  <c r="AT39" i="3" s="1"/>
  <c r="AT6" i="3"/>
  <c r="AT24" i="3"/>
  <c r="AT75" i="3" s="1"/>
  <c r="AT15" i="5" s="1"/>
  <c r="AT16" i="5" s="1"/>
  <c r="AT19" i="3"/>
  <c r="AT61" i="3" s="1"/>
  <c r="AT31" i="3"/>
  <c r="AU5" i="3"/>
  <c r="AT26" i="3"/>
  <c r="AT20" i="3"/>
  <c r="AT18" i="3"/>
  <c r="AT94" i="3"/>
  <c r="AO49" i="3"/>
  <c r="AR37" i="3"/>
  <c r="AQ40" i="3"/>
  <c r="AS65" i="3"/>
  <c r="AS66" i="3" s="1"/>
  <c r="AS23" i="3"/>
  <c r="AS68" i="3" s="1"/>
  <c r="AS11" i="6"/>
  <c r="AR19" i="6"/>
  <c r="AL74" i="3"/>
  <c r="AL59" i="3"/>
  <c r="AS6" i="6"/>
  <c r="AS6" i="5"/>
  <c r="AM74" i="3"/>
  <c r="AM59" i="3"/>
  <c r="AS64" i="3"/>
  <c r="AS67" i="3"/>
  <c r="AN17" i="6"/>
  <c r="AN12" i="5"/>
  <c r="BQ16" i="6"/>
  <c r="AM12" i="5"/>
  <c r="AM17" i="6"/>
  <c r="AS62" i="3"/>
  <c r="AN58" i="3"/>
  <c r="AP53" i="3"/>
  <c r="AP47" i="3"/>
  <c r="AQ55" i="3"/>
  <c r="AQ41" i="3"/>
  <c r="AQ46" i="3"/>
  <c r="AQ52" i="3"/>
  <c r="AP43" i="3"/>
  <c r="AQ48" i="3"/>
  <c r="AQ42" i="3"/>
  <c r="AQ45" i="3"/>
  <c r="AN11" i="5"/>
  <c r="BQ10" i="6"/>
  <c r="AO86" i="3" l="1"/>
  <c r="AO10" i="6" s="1"/>
  <c r="AO11" i="5" s="1"/>
  <c r="AO54" i="3"/>
  <c r="AO57" i="3" s="1"/>
  <c r="AO85" i="3" s="1"/>
  <c r="AO87" i="3" s="1"/>
  <c r="AO16" i="6" s="1"/>
  <c r="AO58" i="3"/>
  <c r="AO74" i="3" s="1"/>
  <c r="AS72" i="3"/>
  <c r="AT4" i="6"/>
  <c r="AT4" i="5"/>
  <c r="AN74" i="3"/>
  <c r="AN59" i="3"/>
  <c r="AT81" i="3"/>
  <c r="AR55" i="3"/>
  <c r="AR41" i="3"/>
  <c r="AP86" i="3"/>
  <c r="AP10" i="6" s="1"/>
  <c r="AP11" i="5" s="1"/>
  <c r="AP54" i="3"/>
  <c r="AP57" i="3" s="1"/>
  <c r="AP85" i="3" s="1"/>
  <c r="AP87" i="3" s="1"/>
  <c r="AP16" i="6" s="1"/>
  <c r="AP58" i="3"/>
  <c r="AP74" i="3" s="1"/>
  <c r="AQ50" i="3"/>
  <c r="AQ92" i="3" s="1"/>
  <c r="AQ49" i="3"/>
  <c r="AT11" i="6"/>
  <c r="BQ17" i="6"/>
  <c r="AS71" i="3"/>
  <c r="AS37" i="3"/>
  <c r="AR40" i="3"/>
  <c r="AS16" i="3"/>
  <c r="AT56" i="3"/>
  <c r="AQ53" i="3"/>
  <c r="AQ47" i="3"/>
  <c r="AU5" i="6"/>
  <c r="AU88" i="3"/>
  <c r="AU18" i="5" s="1"/>
  <c r="AU19" i="5" s="1"/>
  <c r="AU5" i="5"/>
  <c r="AU70" i="3"/>
  <c r="AU30" i="3"/>
  <c r="AU21" i="3"/>
  <c r="AU56" i="3" s="1"/>
  <c r="AU22" i="3"/>
  <c r="AU4" i="3"/>
  <c r="AU28" i="3"/>
  <c r="AU34" i="3" s="1"/>
  <c r="AU39" i="3" s="1"/>
  <c r="AU10" i="3"/>
  <c r="AU6" i="3"/>
  <c r="AU24" i="3"/>
  <c r="AU75" i="3" s="1"/>
  <c r="AU15" i="5" s="1"/>
  <c r="AU16" i="5" s="1"/>
  <c r="AU19" i="3"/>
  <c r="AU61" i="3" s="1"/>
  <c r="AU31" i="3"/>
  <c r="AU9" i="3"/>
  <c r="AU27" i="3"/>
  <c r="AU33" i="3" s="1"/>
  <c r="AU38" i="3" s="1"/>
  <c r="AU94" i="3"/>
  <c r="AU20" i="3"/>
  <c r="AU62" i="3" s="1"/>
  <c r="AU26" i="3"/>
  <c r="AU32" i="3" s="1"/>
  <c r="AU35" i="3" s="1"/>
  <c r="AU63" i="3" s="1"/>
  <c r="AU18" i="3"/>
  <c r="AV5" i="3"/>
  <c r="AU29" i="3"/>
  <c r="AT6" i="6"/>
  <c r="AT6" i="5"/>
  <c r="AT15" i="3"/>
  <c r="AT14" i="3"/>
  <c r="AT13" i="3"/>
  <c r="AT12" i="3"/>
  <c r="AT16" i="3" s="1"/>
  <c r="AT65" i="3"/>
  <c r="AT66" i="3" s="1"/>
  <c r="AT23" i="3"/>
  <c r="AT68" i="3" s="1"/>
  <c r="AT71" i="3" s="1"/>
  <c r="AS19" i="6"/>
  <c r="AT62" i="3"/>
  <c r="AR52" i="3"/>
  <c r="AQ43" i="3"/>
  <c r="AR45" i="3"/>
  <c r="AR48" i="3"/>
  <c r="AR46" i="3"/>
  <c r="AR42" i="3"/>
  <c r="AT32" i="3"/>
  <c r="AT35" i="3" s="1"/>
  <c r="AT63" i="3" s="1"/>
  <c r="AT64" i="3" l="1"/>
  <c r="AT72" i="3" s="1"/>
  <c r="AQ86" i="3"/>
  <c r="AQ10" i="6" s="1"/>
  <c r="AQ11" i="5" s="1"/>
  <c r="AQ54" i="3"/>
  <c r="AQ57" i="3" s="1"/>
  <c r="AS52" i="3"/>
  <c r="AS42" i="3"/>
  <c r="AS45" i="3"/>
  <c r="AS46" i="3"/>
  <c r="AR43" i="3"/>
  <c r="AS48" i="3"/>
  <c r="AO12" i="5"/>
  <c r="AO17" i="6"/>
  <c r="AT19" i="6"/>
  <c r="AV94" i="3"/>
  <c r="AV5" i="6"/>
  <c r="AV88" i="3"/>
  <c r="AV18" i="5" s="1"/>
  <c r="AV19" i="5" s="1"/>
  <c r="AV70" i="3"/>
  <c r="AV30" i="3"/>
  <c r="AV5" i="5"/>
  <c r="AV28" i="3"/>
  <c r="AV34" i="3" s="1"/>
  <c r="AV39" i="3" s="1"/>
  <c r="AV22" i="3"/>
  <c r="AV21" i="3"/>
  <c r="AW5" i="3"/>
  <c r="AV27" i="3"/>
  <c r="AV33" i="3" s="1"/>
  <c r="AV38" i="3" s="1"/>
  <c r="AV24" i="3"/>
  <c r="AV75" i="3" s="1"/>
  <c r="AV15" i="5" s="1"/>
  <c r="AV16" i="5" s="1"/>
  <c r="AV19" i="3"/>
  <c r="AV61" i="3" s="1"/>
  <c r="AV6" i="3"/>
  <c r="AV9" i="3"/>
  <c r="AV10" i="3"/>
  <c r="AV31" i="3"/>
  <c r="AV20" i="3"/>
  <c r="AV62" i="3" s="1"/>
  <c r="AV18" i="3"/>
  <c r="AV29" i="3"/>
  <c r="AV4" i="3"/>
  <c r="AV26" i="3"/>
  <c r="AU64" i="3"/>
  <c r="AP12" i="5"/>
  <c r="AP17" i="6"/>
  <c r="AU81" i="3"/>
  <c r="AS41" i="3"/>
  <c r="AS55" i="3"/>
  <c r="AT37" i="3"/>
  <c r="AS40" i="3"/>
  <c r="AU65" i="3"/>
  <c r="AU66" i="3" s="1"/>
  <c r="AU23" i="3"/>
  <c r="AU68" i="3" s="1"/>
  <c r="AU11" i="6"/>
  <c r="AU15" i="3"/>
  <c r="AU12" i="3"/>
  <c r="AU14" i="3"/>
  <c r="AU13" i="3"/>
  <c r="AP59" i="3"/>
  <c r="AU6" i="6"/>
  <c r="AU6" i="5"/>
  <c r="AO59" i="3"/>
  <c r="AR47" i="3"/>
  <c r="AR49" i="3" s="1"/>
  <c r="AR53" i="3"/>
  <c r="AU4" i="6"/>
  <c r="AU4" i="5"/>
  <c r="AU67" i="3"/>
  <c r="AU71" i="3" l="1"/>
  <c r="AV56" i="3"/>
  <c r="AV67" i="3"/>
  <c r="AR50" i="3"/>
  <c r="AR92" i="3" s="1"/>
  <c r="AV32" i="3"/>
  <c r="AR86" i="3"/>
  <c r="AR10" i="6" s="1"/>
  <c r="AR11" i="5" s="1"/>
  <c r="AR54" i="3"/>
  <c r="AR57" i="3" s="1"/>
  <c r="AR85" i="3" s="1"/>
  <c r="AR87" i="3" s="1"/>
  <c r="AR16" i="6" s="1"/>
  <c r="AR58" i="3"/>
  <c r="AR74" i="3" s="1"/>
  <c r="AQ85" i="3"/>
  <c r="AQ87" i="3" s="1"/>
  <c r="AQ16" i="6" s="1"/>
  <c r="AQ58" i="3"/>
  <c r="AW5" i="5"/>
  <c r="AW94" i="3"/>
  <c r="AW70" i="3"/>
  <c r="AW88" i="3"/>
  <c r="AW18" i="5" s="1"/>
  <c r="AW19" i="5" s="1"/>
  <c r="AW30" i="3"/>
  <c r="AW28" i="3"/>
  <c r="AW34" i="3" s="1"/>
  <c r="AW39" i="3" s="1"/>
  <c r="AW22" i="3"/>
  <c r="AW4" i="3"/>
  <c r="AW5" i="6"/>
  <c r="AW31" i="3"/>
  <c r="AW27" i="3"/>
  <c r="AW33" i="3" s="1"/>
  <c r="AW38" i="3" s="1"/>
  <c r="AW24" i="3"/>
  <c r="AW75" i="3" s="1"/>
  <c r="AW15" i="5" s="1"/>
  <c r="AW16" i="5" s="1"/>
  <c r="AW19" i="3"/>
  <c r="AW61" i="3" s="1"/>
  <c r="AW9" i="3"/>
  <c r="AW6" i="3"/>
  <c r="AW21" i="3"/>
  <c r="AW56" i="3" s="1"/>
  <c r="AW10" i="3"/>
  <c r="AX5" i="3"/>
  <c r="AW26" i="3"/>
  <c r="AW32" i="3" s="1"/>
  <c r="AW20" i="3"/>
  <c r="AW62" i="3" s="1"/>
  <c r="AW18" i="3"/>
  <c r="AW29" i="3"/>
  <c r="AU16" i="3"/>
  <c r="AS47" i="3"/>
  <c r="AS49" i="3" s="1"/>
  <c r="AS53" i="3"/>
  <c r="AV4" i="6"/>
  <c r="AV4" i="5"/>
  <c r="AU72" i="3"/>
  <c r="AV81" i="3"/>
  <c r="AU37" i="3"/>
  <c r="AT40" i="3"/>
  <c r="AV11" i="6"/>
  <c r="AT55" i="3"/>
  <c r="AT41" i="3"/>
  <c r="AV12" i="3"/>
  <c r="AV15" i="3"/>
  <c r="AV14" i="3"/>
  <c r="AV13" i="3"/>
  <c r="AV6" i="6"/>
  <c r="AV6" i="5"/>
  <c r="AT52" i="3"/>
  <c r="AT42" i="3"/>
  <c r="AT45" i="3"/>
  <c r="AT46" i="3"/>
  <c r="AS43" i="3"/>
  <c r="AT48" i="3"/>
  <c r="AU19" i="6"/>
  <c r="AV35" i="3"/>
  <c r="AV63" i="3" s="1"/>
  <c r="AV64" i="3" s="1"/>
  <c r="AV65" i="3"/>
  <c r="AV66" i="3" s="1"/>
  <c r="AV23" i="3"/>
  <c r="AV68" i="3" s="1"/>
  <c r="AV71" i="3" s="1"/>
  <c r="AS86" i="3" l="1"/>
  <c r="AS10" i="6" s="1"/>
  <c r="AS11" i="5" s="1"/>
  <c r="AS54" i="3"/>
  <c r="AS57" i="3" s="1"/>
  <c r="AS85" i="3" s="1"/>
  <c r="AS87" i="3" s="1"/>
  <c r="AS16" i="6" s="1"/>
  <c r="AV72" i="3"/>
  <c r="AT47" i="3"/>
  <c r="AT53" i="3"/>
  <c r="AW35" i="3"/>
  <c r="AW63" i="3" s="1"/>
  <c r="AW64" i="3"/>
  <c r="AT49" i="3"/>
  <c r="AT50" i="3"/>
  <c r="AT92" i="3" s="1"/>
  <c r="AV37" i="3"/>
  <c r="AU40" i="3"/>
  <c r="AW65" i="3"/>
  <c r="AW66" i="3" s="1"/>
  <c r="AW23" i="3"/>
  <c r="AW68" i="3" s="1"/>
  <c r="AW14" i="3"/>
  <c r="AW13" i="3"/>
  <c r="AW15" i="3"/>
  <c r="AW12" i="3"/>
  <c r="AQ74" i="3"/>
  <c r="AQ59" i="3"/>
  <c r="AV16" i="3"/>
  <c r="AQ12" i="5"/>
  <c r="AQ17" i="6"/>
  <c r="AV19" i="6"/>
  <c r="AS50" i="3"/>
  <c r="AS92" i="3" s="1"/>
  <c r="AR12" i="5"/>
  <c r="AR17" i="6"/>
  <c r="AU52" i="3"/>
  <c r="AU42" i="3"/>
  <c r="AU45" i="3"/>
  <c r="AU46" i="3"/>
  <c r="AT43" i="3"/>
  <c r="AU48" i="3"/>
  <c r="AX5" i="5"/>
  <c r="AX70" i="3"/>
  <c r="AX5" i="6"/>
  <c r="AX30" i="3"/>
  <c r="AX94" i="3"/>
  <c r="AX28" i="3"/>
  <c r="AX34" i="3" s="1"/>
  <c r="AX39" i="3" s="1"/>
  <c r="AX31" i="3"/>
  <c r="AX22" i="3"/>
  <c r="AY5" i="3"/>
  <c r="AX18" i="3"/>
  <c r="AX27" i="3"/>
  <c r="AX33" i="3" s="1"/>
  <c r="AX38" i="3" s="1"/>
  <c r="AX29" i="3"/>
  <c r="AX6" i="3"/>
  <c r="AX10" i="3"/>
  <c r="AX88" i="3"/>
  <c r="AX18" i="5" s="1"/>
  <c r="AX19" i="5" s="1"/>
  <c r="AX21" i="3"/>
  <c r="AX56" i="3" s="1"/>
  <c r="AX9" i="3"/>
  <c r="AX20" i="3"/>
  <c r="AX62" i="3" s="1"/>
  <c r="AX4" i="3"/>
  <c r="AX26" i="3"/>
  <c r="AX32" i="3" s="1"/>
  <c r="AX19" i="3"/>
  <c r="AX61" i="3" s="1"/>
  <c r="AX24" i="3"/>
  <c r="AX75" i="3" s="1"/>
  <c r="AX15" i="5" s="1"/>
  <c r="AX16" i="5" s="1"/>
  <c r="AW6" i="6"/>
  <c r="AW6" i="5"/>
  <c r="AW11" i="6"/>
  <c r="AW4" i="6"/>
  <c r="AW4" i="5"/>
  <c r="AR59" i="3"/>
  <c r="AU55" i="3"/>
  <c r="AU41" i="3"/>
  <c r="AW81" i="3"/>
  <c r="AW67" i="3"/>
  <c r="AW71" i="3" s="1"/>
  <c r="AW16" i="3" l="1"/>
  <c r="AX35" i="3"/>
  <c r="AX63" i="3" s="1"/>
  <c r="AX64" i="3" s="1"/>
  <c r="AW72" i="3"/>
  <c r="AX65" i="3"/>
  <c r="AX66" i="3" s="1"/>
  <c r="AX23" i="3"/>
  <c r="AX68" i="3" s="1"/>
  <c r="AU47" i="3"/>
  <c r="AU50" i="3" s="1"/>
  <c r="AU92" i="3" s="1"/>
  <c r="AU53" i="3"/>
  <c r="AS58" i="3"/>
  <c r="AV55" i="3"/>
  <c r="AV41" i="3"/>
  <c r="AW37" i="3"/>
  <c r="AV40" i="3"/>
  <c r="AX4" i="6"/>
  <c r="AX4" i="5"/>
  <c r="AW19" i="6"/>
  <c r="AT86" i="3"/>
  <c r="AT10" i="6" s="1"/>
  <c r="AT11" i="5" s="1"/>
  <c r="AT54" i="3"/>
  <c r="AT57" i="3" s="1"/>
  <c r="AX12" i="3"/>
  <c r="AX15" i="3"/>
  <c r="AX14" i="3"/>
  <c r="AX13" i="3"/>
  <c r="AX81" i="3"/>
  <c r="AX6" i="6"/>
  <c r="AX6" i="5"/>
  <c r="AY5" i="5"/>
  <c r="AY5" i="6"/>
  <c r="AY70" i="3"/>
  <c r="AY88" i="3"/>
  <c r="AY18" i="5" s="1"/>
  <c r="AY19" i="5" s="1"/>
  <c r="AY31" i="3"/>
  <c r="AY94" i="3"/>
  <c r="AY28" i="3"/>
  <c r="AY34" i="3" s="1"/>
  <c r="AY39" i="3" s="1"/>
  <c r="AY18" i="3"/>
  <c r="AY27" i="3"/>
  <c r="AY33" i="3" s="1"/>
  <c r="AY38" i="3" s="1"/>
  <c r="AY29" i="3"/>
  <c r="AY30" i="3"/>
  <c r="AY24" i="3"/>
  <c r="AY75" i="3" s="1"/>
  <c r="AY15" i="5" s="1"/>
  <c r="AY16" i="5" s="1"/>
  <c r="AY10" i="3"/>
  <c r="AZ5" i="3"/>
  <c r="AY21" i="3"/>
  <c r="AY56" i="3" s="1"/>
  <c r="AY9" i="3"/>
  <c r="AY6" i="3"/>
  <c r="AY20" i="3"/>
  <c r="AY62" i="3" s="1"/>
  <c r="AY26" i="3"/>
  <c r="AY32" i="3" s="1"/>
  <c r="AY4" i="3"/>
  <c r="AY19" i="3"/>
  <c r="AY61" i="3" s="1"/>
  <c r="AY22" i="3"/>
  <c r="AY67" i="3" s="1"/>
  <c r="AV52" i="3"/>
  <c r="AV42" i="3"/>
  <c r="AV48" i="3"/>
  <c r="AV46" i="3"/>
  <c r="AV45" i="3"/>
  <c r="AU43" i="3"/>
  <c r="AX11" i="6"/>
  <c r="AX67" i="3"/>
  <c r="AS12" i="5"/>
  <c r="AS17" i="6"/>
  <c r="AT85" i="3" l="1"/>
  <c r="AT87" i="3" s="1"/>
  <c r="AT16" i="6" s="1"/>
  <c r="AT58" i="3"/>
  <c r="AZ5" i="6"/>
  <c r="AZ94" i="3"/>
  <c r="AZ88" i="3"/>
  <c r="AZ18" i="5" s="1"/>
  <c r="AZ19" i="5" s="1"/>
  <c r="AZ5" i="5"/>
  <c r="AZ70" i="3"/>
  <c r="AZ31" i="3"/>
  <c r="AZ29" i="3"/>
  <c r="BA5" i="3"/>
  <c r="AZ18" i="3"/>
  <c r="AZ27" i="3"/>
  <c r="AZ33" i="3" s="1"/>
  <c r="AZ38" i="3" s="1"/>
  <c r="AZ30" i="3"/>
  <c r="AZ10" i="3"/>
  <c r="AZ21" i="3"/>
  <c r="AZ56" i="3" s="1"/>
  <c r="AZ9" i="3"/>
  <c r="AZ6" i="3"/>
  <c r="AZ26" i="3"/>
  <c r="AZ32" i="3" s="1"/>
  <c r="AZ20" i="3"/>
  <c r="AZ62" i="3" s="1"/>
  <c r="AZ4" i="3"/>
  <c r="AZ19" i="3"/>
  <c r="AZ61" i="3" s="1"/>
  <c r="AZ24" i="3"/>
  <c r="AZ75" i="3" s="1"/>
  <c r="AZ15" i="5" s="1"/>
  <c r="AZ16" i="5" s="1"/>
  <c r="AZ28" i="3"/>
  <c r="AZ34" i="3" s="1"/>
  <c r="AZ39" i="3" s="1"/>
  <c r="AZ22" i="3"/>
  <c r="AZ67" i="3" s="1"/>
  <c r="AY81" i="3"/>
  <c r="AV47" i="3"/>
  <c r="AV49" i="3" s="1"/>
  <c r="AV53" i="3"/>
  <c r="AS74" i="3"/>
  <c r="AS59" i="3"/>
  <c r="AW41" i="3"/>
  <c r="AW55" i="3"/>
  <c r="AX37" i="3"/>
  <c r="AW40" i="3"/>
  <c r="AW48" i="3"/>
  <c r="AV43" i="3"/>
  <c r="AW46" i="3"/>
  <c r="AW45" i="3"/>
  <c r="AW52" i="3"/>
  <c r="AW42" i="3"/>
  <c r="AU49" i="3"/>
  <c r="AX19" i="6"/>
  <c r="AX16" i="3"/>
  <c r="AY4" i="6"/>
  <c r="AY4" i="5"/>
  <c r="AY65" i="3"/>
  <c r="AY66" i="3" s="1"/>
  <c r="AY23" i="3"/>
  <c r="AY68" i="3" s="1"/>
  <c r="AY71" i="3" s="1"/>
  <c r="AX71" i="3"/>
  <c r="AX72" i="3" s="1"/>
  <c r="AY11" i="6"/>
  <c r="AY6" i="6"/>
  <c r="AY6" i="5"/>
  <c r="AY13" i="3"/>
  <c r="AY12" i="3"/>
  <c r="AY15" i="3"/>
  <c r="AY14" i="3"/>
  <c r="AY35" i="3"/>
  <c r="AY63" i="3" s="1"/>
  <c r="AY64" i="3" s="1"/>
  <c r="AY72" i="3" l="1"/>
  <c r="AV86" i="3"/>
  <c r="AV10" i="6" s="1"/>
  <c r="AV54" i="3"/>
  <c r="AV57" i="3" s="1"/>
  <c r="AV85" i="3" s="1"/>
  <c r="AV87" i="3" s="1"/>
  <c r="AV16" i="6" s="1"/>
  <c r="F7" i="4"/>
  <c r="F8" i="4"/>
  <c r="AZ6" i="6"/>
  <c r="AZ6" i="5"/>
  <c r="AU86" i="3"/>
  <c r="AU10" i="6" s="1"/>
  <c r="AU11" i="5" s="1"/>
  <c r="AU54" i="3"/>
  <c r="AU57" i="3" s="1"/>
  <c r="AU85" i="3" s="1"/>
  <c r="AU87" i="3" s="1"/>
  <c r="AU16" i="6" s="1"/>
  <c r="AY19" i="6"/>
  <c r="AY16" i="3"/>
  <c r="AZ35" i="3"/>
  <c r="AZ63" i="3" s="1"/>
  <c r="AZ64" i="3" s="1"/>
  <c r="AZ11" i="6"/>
  <c r="AX48" i="3"/>
  <c r="AW43" i="3"/>
  <c r="AX46" i="3"/>
  <c r="AX45" i="3"/>
  <c r="AX52" i="3"/>
  <c r="AX42" i="3"/>
  <c r="AZ13" i="3"/>
  <c r="AZ12" i="3"/>
  <c r="AZ15" i="3"/>
  <c r="AZ14" i="3"/>
  <c r="AV50" i="3"/>
  <c r="AV92" i="3" s="1"/>
  <c r="AW53" i="3"/>
  <c r="AW47" i="3"/>
  <c r="AZ65" i="3"/>
  <c r="AZ66" i="3" s="1"/>
  <c r="AZ23" i="3"/>
  <c r="AX55" i="3"/>
  <c r="AX41" i="3"/>
  <c r="BA5" i="6"/>
  <c r="BA94" i="3"/>
  <c r="BA70" i="3"/>
  <c r="BA88" i="3"/>
  <c r="BA18" i="5" s="1"/>
  <c r="BA19" i="5" s="1"/>
  <c r="BA5" i="5"/>
  <c r="BA31" i="3"/>
  <c r="BA29" i="3"/>
  <c r="BA18" i="3"/>
  <c r="BA27" i="3"/>
  <c r="BA33" i="3" s="1"/>
  <c r="BA38" i="3" s="1"/>
  <c r="BA30" i="3"/>
  <c r="BA24" i="3"/>
  <c r="BA75" i="3" s="1"/>
  <c r="BA15" i="5" s="1"/>
  <c r="BA16" i="5" s="1"/>
  <c r="BA19" i="3"/>
  <c r="BA6" i="3"/>
  <c r="BA21" i="3"/>
  <c r="BA56" i="3" s="1"/>
  <c r="BA9" i="3"/>
  <c r="BA20" i="3"/>
  <c r="BA62" i="3" s="1"/>
  <c r="BB5" i="3"/>
  <c r="BA26" i="3"/>
  <c r="BA32" i="3" s="1"/>
  <c r="BA22" i="3"/>
  <c r="BA28" i="3"/>
  <c r="BA34" i="3" s="1"/>
  <c r="BA39" i="3" s="1"/>
  <c r="BA10" i="3"/>
  <c r="BA4" i="3"/>
  <c r="AX40" i="3"/>
  <c r="AY37" i="3"/>
  <c r="AZ4" i="6"/>
  <c r="AZ4" i="5"/>
  <c r="AW50" i="3"/>
  <c r="AW92" i="3" s="1"/>
  <c r="AW49" i="3"/>
  <c r="AT74" i="3"/>
  <c r="AT59" i="3"/>
  <c r="AT17" i="6"/>
  <c r="AT12" i="5"/>
  <c r="AU58" i="3" l="1"/>
  <c r="AU74" i="3" s="1"/>
  <c r="BA67" i="3"/>
  <c r="AZ16" i="3"/>
  <c r="BA35" i="3"/>
  <c r="BA63" i="3" s="1"/>
  <c r="AW86" i="3"/>
  <c r="AW10" i="6" s="1"/>
  <c r="AW11" i="5" s="1"/>
  <c r="AW54" i="3"/>
  <c r="AW57" i="3" s="1"/>
  <c r="BB5" i="6"/>
  <c r="BB94" i="3"/>
  <c r="BB70" i="3"/>
  <c r="BB88" i="3"/>
  <c r="BB18" i="5" s="1"/>
  <c r="BB19" i="5" s="1"/>
  <c r="BB5" i="5"/>
  <c r="BB31" i="3"/>
  <c r="BB29" i="3"/>
  <c r="BB18" i="3"/>
  <c r="BB27" i="3"/>
  <c r="BB33" i="3" s="1"/>
  <c r="BB38" i="3" s="1"/>
  <c r="BB30" i="3"/>
  <c r="BB24" i="3"/>
  <c r="BB75" i="3" s="1"/>
  <c r="BB15" i="5" s="1"/>
  <c r="BB16" i="5" s="1"/>
  <c r="BB19" i="3"/>
  <c r="BB6" i="3"/>
  <c r="BB28" i="3"/>
  <c r="BB34" i="3" s="1"/>
  <c r="BB39" i="3" s="1"/>
  <c r="BB20" i="3"/>
  <c r="BB26" i="3"/>
  <c r="BB32" i="3" s="1"/>
  <c r="BC5" i="3"/>
  <c r="BB22" i="3"/>
  <c r="BB4" i="3"/>
  <c r="BB10" i="3"/>
  <c r="BB9" i="3"/>
  <c r="BB21" i="3"/>
  <c r="BB56" i="3" s="1"/>
  <c r="BA6" i="6"/>
  <c r="BA6" i="5"/>
  <c r="AZ68" i="3"/>
  <c r="AZ71" i="3" s="1"/>
  <c r="AZ72" i="3" s="1"/>
  <c r="F49" i="4"/>
  <c r="BA11" i="6"/>
  <c r="BR11" i="6"/>
  <c r="BA15" i="3"/>
  <c r="BA13" i="3"/>
  <c r="BA14" i="3"/>
  <c r="BA12" i="3"/>
  <c r="BA16" i="3" s="1"/>
  <c r="B25" i="7" s="1"/>
  <c r="AX53" i="3"/>
  <c r="AX47" i="3"/>
  <c r="AX49" i="3" s="1"/>
  <c r="AY48" i="3"/>
  <c r="AX43" i="3"/>
  <c r="AY46" i="3"/>
  <c r="AY45" i="3"/>
  <c r="AY52" i="3"/>
  <c r="AY42" i="3"/>
  <c r="AY40" i="3"/>
  <c r="AZ37" i="3"/>
  <c r="AV17" i="6"/>
  <c r="AV12" i="5"/>
  <c r="AY41" i="3"/>
  <c r="AY55" i="3"/>
  <c r="AZ19" i="6"/>
  <c r="AV58" i="3"/>
  <c r="AU59" i="3"/>
  <c r="BA61" i="3"/>
  <c r="BA64" i="3" s="1"/>
  <c r="BA65" i="3"/>
  <c r="BA66" i="3" s="1"/>
  <c r="BA23" i="3"/>
  <c r="BA68" i="3" s="1"/>
  <c r="BA71" i="3" s="1"/>
  <c r="BA4" i="6"/>
  <c r="BA4" i="5"/>
  <c r="BA81" i="3"/>
  <c r="AU17" i="6"/>
  <c r="AU12" i="5"/>
  <c r="AV11" i="5"/>
  <c r="BB67" i="3" l="1"/>
  <c r="BB62" i="3"/>
  <c r="BB61" i="3"/>
  <c r="BB35" i="3"/>
  <c r="BB63" i="3" s="1"/>
  <c r="AX86" i="3"/>
  <c r="AX10" i="6" s="1"/>
  <c r="AX11" i="5" s="1"/>
  <c r="AX54" i="3"/>
  <c r="AX57" i="3"/>
  <c r="AX85" i="3" s="1"/>
  <c r="AX87" i="3" s="1"/>
  <c r="AX16" i="6" s="1"/>
  <c r="AW85" i="3"/>
  <c r="AW87" i="3" s="1"/>
  <c r="AW16" i="6" s="1"/>
  <c r="AW58" i="3"/>
  <c r="AV74" i="3"/>
  <c r="AV59" i="3"/>
  <c r="AY43" i="3"/>
  <c r="AZ45" i="3"/>
  <c r="AZ46" i="3"/>
  <c r="AZ52" i="3"/>
  <c r="AZ42" i="3"/>
  <c r="AZ48" i="3"/>
  <c r="BB4" i="6"/>
  <c r="BB4" i="5"/>
  <c r="BA72" i="3"/>
  <c r="BB11" i="6"/>
  <c r="BB64" i="3"/>
  <c r="BB81" i="3"/>
  <c r="AY53" i="3"/>
  <c r="AY47" i="3"/>
  <c r="AY49" i="3" s="1"/>
  <c r="BB6" i="6"/>
  <c r="BB6" i="5"/>
  <c r="AX50" i="3"/>
  <c r="AX92" i="3" s="1"/>
  <c r="BB65" i="3"/>
  <c r="BB66" i="3" s="1"/>
  <c r="BB23" i="3"/>
  <c r="BB68" i="3" s="1"/>
  <c r="BB71" i="3"/>
  <c r="BC5" i="6"/>
  <c r="BC94" i="3"/>
  <c r="BC70" i="3"/>
  <c r="BC88" i="3"/>
  <c r="BC18" i="5" s="1"/>
  <c r="BC19" i="5" s="1"/>
  <c r="BC5" i="5"/>
  <c r="BC28" i="3"/>
  <c r="BC34" i="3" s="1"/>
  <c r="BC39" i="3" s="1"/>
  <c r="BC29" i="3"/>
  <c r="BC27" i="3"/>
  <c r="BC33" i="3" s="1"/>
  <c r="BC38" i="3" s="1"/>
  <c r="BC30" i="3"/>
  <c r="BC24" i="3"/>
  <c r="BC75" i="3" s="1"/>
  <c r="BC15" i="5" s="1"/>
  <c r="BC16" i="5" s="1"/>
  <c r="BC19" i="3"/>
  <c r="BC31" i="3"/>
  <c r="BC26" i="3"/>
  <c r="BC32" i="3" s="1"/>
  <c r="BC6" i="3"/>
  <c r="BC20" i="3"/>
  <c r="BD5" i="3"/>
  <c r="BC18" i="3"/>
  <c r="BC21" i="3"/>
  <c r="BC10" i="3"/>
  <c r="BC4" i="3"/>
  <c r="BC9" i="3"/>
  <c r="BC22" i="3"/>
  <c r="BC67" i="3" s="1"/>
  <c r="BR19" i="6"/>
  <c r="BA19" i="6"/>
  <c r="F6" i="4"/>
  <c r="AZ40" i="3"/>
  <c r="BA37" i="3"/>
  <c r="AZ41" i="3"/>
  <c r="AZ55" i="3"/>
  <c r="BB13" i="3"/>
  <c r="BB14" i="3"/>
  <c r="BB12" i="3"/>
  <c r="BB15" i="3"/>
  <c r="BB72" i="3" l="1"/>
  <c r="AY86" i="3"/>
  <c r="AY10" i="6" s="1"/>
  <c r="AY11" i="5" s="1"/>
  <c r="AY54" i="3"/>
  <c r="AY57" i="3"/>
  <c r="AY85" i="3" s="1"/>
  <c r="AY87" i="3" s="1"/>
  <c r="AY16" i="6" s="1"/>
  <c r="BB16" i="3"/>
  <c r="BA45" i="3"/>
  <c r="BA52" i="3"/>
  <c r="AZ43" i="3"/>
  <c r="BA42" i="3"/>
  <c r="BA46" i="3"/>
  <c r="BA48" i="3"/>
  <c r="F12" i="4"/>
  <c r="BC81" i="3"/>
  <c r="AZ53" i="3"/>
  <c r="AZ47" i="3"/>
  <c r="AZ50" i="3" s="1"/>
  <c r="BC65" i="3"/>
  <c r="BC66" i="3" s="1"/>
  <c r="BC23" i="3"/>
  <c r="BC68" i="3" s="1"/>
  <c r="BA40" i="3"/>
  <c r="BB37" i="3"/>
  <c r="BD5" i="6"/>
  <c r="BD70" i="3"/>
  <c r="BD5" i="5"/>
  <c r="BD88" i="3"/>
  <c r="BD18" i="5" s="1"/>
  <c r="BD19" i="5" s="1"/>
  <c r="BD28" i="3"/>
  <c r="BD34" i="3" s="1"/>
  <c r="BD39" i="3" s="1"/>
  <c r="BD94" i="3"/>
  <c r="BD30" i="3"/>
  <c r="BD24" i="3"/>
  <c r="BD75" i="3" s="1"/>
  <c r="BD15" i="5" s="1"/>
  <c r="BD16" i="5" s="1"/>
  <c r="BD19" i="3"/>
  <c r="BD6" i="3"/>
  <c r="BD31" i="3"/>
  <c r="BD29" i="3"/>
  <c r="BD20" i="3"/>
  <c r="BD62" i="3" s="1"/>
  <c r="BD9" i="3"/>
  <c r="BD27" i="3"/>
  <c r="BD33" i="3" s="1"/>
  <c r="BD38" i="3" s="1"/>
  <c r="BE5" i="3"/>
  <c r="BD22" i="3"/>
  <c r="BD67" i="3" s="1"/>
  <c r="BD26" i="3"/>
  <c r="BD32" i="3" s="1"/>
  <c r="BD18" i="3"/>
  <c r="BD4" i="3"/>
  <c r="BD10" i="3"/>
  <c r="BD21" i="3"/>
  <c r="BA55" i="3"/>
  <c r="F9" i="4"/>
  <c r="BA41" i="3"/>
  <c r="AY50" i="3"/>
  <c r="AY92" i="3" s="1"/>
  <c r="AX58" i="3"/>
  <c r="BC35" i="3"/>
  <c r="BC63" i="3" s="1"/>
  <c r="AW17" i="6"/>
  <c r="AW12" i="5"/>
  <c r="BB19" i="6"/>
  <c r="BC71" i="3"/>
  <c r="BC56" i="3"/>
  <c r="AW74" i="3"/>
  <c r="AW59" i="3"/>
  <c r="AX17" i="6"/>
  <c r="AX12" i="5"/>
  <c r="BC61" i="3"/>
  <c r="BC14" i="3"/>
  <c r="BC13" i="3"/>
  <c r="BC12" i="3"/>
  <c r="BC15" i="3"/>
  <c r="BC4" i="5"/>
  <c r="BC4" i="6"/>
  <c r="BC62" i="3"/>
  <c r="BC11" i="6"/>
  <c r="BC6" i="6"/>
  <c r="BC6" i="5"/>
  <c r="BD35" i="3" l="1"/>
  <c r="BD63" i="3" s="1"/>
  <c r="AZ92" i="3"/>
  <c r="F47" i="4"/>
  <c r="BD11" i="6"/>
  <c r="BD6" i="5"/>
  <c r="BD6" i="6"/>
  <c r="BD61" i="3"/>
  <c r="BD64" i="3" s="1"/>
  <c r="BD4" i="5"/>
  <c r="BD4" i="6"/>
  <c r="BB45" i="3"/>
  <c r="BB52" i="3"/>
  <c r="BA43" i="3"/>
  <c r="BB42" i="3"/>
  <c r="BB46" i="3"/>
  <c r="BB48" i="3"/>
  <c r="BE5" i="6"/>
  <c r="BE88" i="3"/>
  <c r="BE18" i="5" s="1"/>
  <c r="BE19" i="5" s="1"/>
  <c r="BE70" i="3"/>
  <c r="BE28" i="3"/>
  <c r="BE34" i="3" s="1"/>
  <c r="BE39" i="3" s="1"/>
  <c r="BE94" i="3"/>
  <c r="BE5" i="5"/>
  <c r="BE30" i="3"/>
  <c r="BE24" i="3"/>
  <c r="BE75" i="3" s="1"/>
  <c r="BE15" i="5" s="1"/>
  <c r="BE16" i="5" s="1"/>
  <c r="BE19" i="3"/>
  <c r="BE31" i="3"/>
  <c r="BE29" i="3"/>
  <c r="BE20" i="3"/>
  <c r="BE62" i="3" s="1"/>
  <c r="BE9" i="3"/>
  <c r="BE26" i="3"/>
  <c r="BE32" i="3" s="1"/>
  <c r="BE21" i="3"/>
  <c r="BE56" i="3" s="1"/>
  <c r="BE6" i="3"/>
  <c r="BF5" i="3"/>
  <c r="BE18" i="3"/>
  <c r="BE22" i="3"/>
  <c r="BE4" i="3"/>
  <c r="BE27" i="3"/>
  <c r="BE33" i="3" s="1"/>
  <c r="BE38" i="3" s="1"/>
  <c r="BE10" i="3"/>
  <c r="BC16" i="3"/>
  <c r="AY58" i="3"/>
  <c r="BD65" i="3"/>
  <c r="BD66" i="3" s="1"/>
  <c r="BD23" i="3"/>
  <c r="BD68" i="3" s="1"/>
  <c r="BD71" i="3" s="1"/>
  <c r="BC19" i="6"/>
  <c r="BA47" i="3"/>
  <c r="BA50" i="3" s="1"/>
  <c r="BA92" i="3" s="1"/>
  <c r="BA53" i="3"/>
  <c r="BD14" i="3"/>
  <c r="BD15" i="3"/>
  <c r="BD13" i="3"/>
  <c r="BD12" i="3"/>
  <c r="BC64" i="3"/>
  <c r="BC72" i="3" s="1"/>
  <c r="BD56" i="3"/>
  <c r="AZ49" i="3"/>
  <c r="BB40" i="3"/>
  <c r="BC37" i="3"/>
  <c r="BB41" i="3"/>
  <c r="BB55" i="3"/>
  <c r="AX74" i="3"/>
  <c r="AX59" i="3"/>
  <c r="AY17" i="6"/>
  <c r="AY12" i="5"/>
  <c r="BD81" i="3"/>
  <c r="BD72" i="3" l="1"/>
  <c r="BE67" i="3"/>
  <c r="BD16" i="3"/>
  <c r="BE4" i="6"/>
  <c r="BE4" i="5"/>
  <c r="BE81" i="3"/>
  <c r="BA49" i="3"/>
  <c r="AY74" i="3"/>
  <c r="AY59" i="3"/>
  <c r="BC40" i="3"/>
  <c r="BD37" i="3"/>
  <c r="BE14" i="3"/>
  <c r="BE15" i="3"/>
  <c r="BE13" i="3"/>
  <c r="BE12" i="3"/>
  <c r="BE16" i="3" s="1"/>
  <c r="BE11" i="6"/>
  <c r="BE65" i="3"/>
  <c r="BE66" i="3" s="1"/>
  <c r="BE23" i="3"/>
  <c r="BE68" i="3" s="1"/>
  <c r="BD19" i="6"/>
  <c r="BF5" i="6"/>
  <c r="BF5" i="5"/>
  <c r="BF88" i="3"/>
  <c r="BF18" i="5" s="1"/>
  <c r="BF19" i="5" s="1"/>
  <c r="BF70" i="3"/>
  <c r="BF28" i="3"/>
  <c r="BF34" i="3" s="1"/>
  <c r="BF39" i="3" s="1"/>
  <c r="BF94" i="3"/>
  <c r="BF30" i="3"/>
  <c r="BF31" i="3"/>
  <c r="BF29" i="3"/>
  <c r="BF20" i="3"/>
  <c r="BF26" i="3"/>
  <c r="BF32" i="3" s="1"/>
  <c r="BG5" i="3"/>
  <c r="BF18" i="3"/>
  <c r="BF4" i="3"/>
  <c r="BF27" i="3"/>
  <c r="BF33" i="3" s="1"/>
  <c r="BF38" i="3" s="1"/>
  <c r="BF22" i="3"/>
  <c r="BF10" i="3"/>
  <c r="BF9" i="3"/>
  <c r="BF6" i="3"/>
  <c r="BF24" i="3"/>
  <c r="BF75" i="3" s="1"/>
  <c r="BF15" i="5" s="1"/>
  <c r="BF16" i="5" s="1"/>
  <c r="BF21" i="3"/>
  <c r="BF56" i="3" s="1"/>
  <c r="BF19" i="3"/>
  <c r="BF61" i="3" s="1"/>
  <c r="BE6" i="6"/>
  <c r="BE6" i="5"/>
  <c r="BC41" i="3"/>
  <c r="BC55" i="3"/>
  <c r="BC45" i="3"/>
  <c r="BC52" i="3"/>
  <c r="BC48" i="3"/>
  <c r="BB43" i="3"/>
  <c r="BC42" i="3"/>
  <c r="BC46" i="3"/>
  <c r="BE71" i="3"/>
  <c r="AZ86" i="3"/>
  <c r="AZ10" i="6" s="1"/>
  <c r="J8" i="7"/>
  <c r="AZ54" i="3"/>
  <c r="AZ57" i="3" s="1"/>
  <c r="AZ85" i="3" s="1"/>
  <c r="AZ87" i="3" s="1"/>
  <c r="AZ16" i="6" s="1"/>
  <c r="BE35" i="3"/>
  <c r="BE63" i="3" s="1"/>
  <c r="BE61" i="3"/>
  <c r="BE64" i="3" s="1"/>
  <c r="BB47" i="3"/>
  <c r="BB49" i="3" s="1"/>
  <c r="BB53" i="3"/>
  <c r="BB86" i="3" l="1"/>
  <c r="BB10" i="6" s="1"/>
  <c r="BB54" i="3"/>
  <c r="BB57" i="3" s="1"/>
  <c r="BF6" i="6"/>
  <c r="BF6" i="5"/>
  <c r="BF14" i="3"/>
  <c r="BF13" i="3"/>
  <c r="BF12" i="3"/>
  <c r="BF15" i="3"/>
  <c r="AZ11" i="5"/>
  <c r="BR10" i="6"/>
  <c r="BF67" i="3"/>
  <c r="BC47" i="3"/>
  <c r="BC49" i="3" s="1"/>
  <c r="BC53" i="3"/>
  <c r="BA86" i="3"/>
  <c r="BA10" i="6" s="1"/>
  <c r="BA11" i="5" s="1"/>
  <c r="BA54" i="3"/>
  <c r="BA57" i="3" s="1"/>
  <c r="BA85" i="3" s="1"/>
  <c r="BA87" i="3" s="1"/>
  <c r="BA16" i="6" s="1"/>
  <c r="BE19" i="6"/>
  <c r="BF35" i="3"/>
  <c r="BF63" i="3" s="1"/>
  <c r="BD52" i="3"/>
  <c r="BD46" i="3"/>
  <c r="BD48" i="3"/>
  <c r="BD45" i="3"/>
  <c r="BC43" i="3"/>
  <c r="BD42" i="3"/>
  <c r="BD40" i="3"/>
  <c r="BE37" i="3"/>
  <c r="BF81" i="3"/>
  <c r="BD41" i="3"/>
  <c r="BD55" i="3"/>
  <c r="BE72" i="3"/>
  <c r="AZ17" i="6"/>
  <c r="AZ12" i="5"/>
  <c r="BR16" i="6"/>
  <c r="BF11" i="6"/>
  <c r="BF65" i="3"/>
  <c r="BF66" i="3" s="1"/>
  <c r="BF23" i="3"/>
  <c r="BF68" i="3" s="1"/>
  <c r="BF62" i="3"/>
  <c r="AZ58" i="3"/>
  <c r="BB50" i="3"/>
  <c r="BB92" i="3" s="1"/>
  <c r="BF4" i="6"/>
  <c r="BF4" i="5"/>
  <c r="BG5" i="6"/>
  <c r="BG5" i="5"/>
  <c r="BG94" i="3"/>
  <c r="BG29" i="3"/>
  <c r="BG30" i="3"/>
  <c r="BG27" i="3"/>
  <c r="BG33" i="3" s="1"/>
  <c r="BG38" i="3" s="1"/>
  <c r="BG70" i="3"/>
  <c r="BG31" i="3"/>
  <c r="BG20" i="3"/>
  <c r="BG62" i="3" s="1"/>
  <c r="BG9" i="3"/>
  <c r="BG26" i="3"/>
  <c r="BG32" i="3" s="1"/>
  <c r="BG21" i="3"/>
  <c r="BG56" i="3" s="1"/>
  <c r="BG10" i="3"/>
  <c r="BG28" i="3"/>
  <c r="BG34" i="3" s="1"/>
  <c r="BG39" i="3" s="1"/>
  <c r="BG88" i="3"/>
  <c r="BG18" i="5" s="1"/>
  <c r="BG19" i="5" s="1"/>
  <c r="BG22" i="3"/>
  <c r="BG67" i="3" s="1"/>
  <c r="BG4" i="3"/>
  <c r="BG18" i="3"/>
  <c r="BG19" i="3"/>
  <c r="BG61" i="3" s="1"/>
  <c r="BG24" i="3"/>
  <c r="BG75" i="3" s="1"/>
  <c r="BG15" i="5" s="1"/>
  <c r="BG16" i="5" s="1"/>
  <c r="BH5" i="3"/>
  <c r="BG6" i="3"/>
  <c r="BC50" i="3" l="1"/>
  <c r="BC92" i="3" s="1"/>
  <c r="BF64" i="3"/>
  <c r="BB85" i="3"/>
  <c r="BB87" i="3" s="1"/>
  <c r="BB16" i="6" s="1"/>
  <c r="BB58" i="3"/>
  <c r="BG11" i="6"/>
  <c r="BF16" i="3"/>
  <c r="BR17" i="6"/>
  <c r="BG65" i="3"/>
  <c r="BG66" i="3" s="1"/>
  <c r="BG23" i="3"/>
  <c r="BG68" i="3" s="1"/>
  <c r="BG71" i="3" s="1"/>
  <c r="BG4" i="6"/>
  <c r="BG4" i="5"/>
  <c r="BH5" i="6"/>
  <c r="BH5" i="5"/>
  <c r="BH29" i="3"/>
  <c r="BH27" i="3"/>
  <c r="BH33" i="3" s="1"/>
  <c r="BH38" i="3" s="1"/>
  <c r="BH70" i="3"/>
  <c r="BH31" i="3"/>
  <c r="BH88" i="3"/>
  <c r="BH18" i="5" s="1"/>
  <c r="BH19" i="5" s="1"/>
  <c r="BH20" i="3"/>
  <c r="BH30" i="3"/>
  <c r="BH26" i="3"/>
  <c r="BH32" i="3" s="1"/>
  <c r="BH21" i="3"/>
  <c r="BH56" i="3" s="1"/>
  <c r="BH10" i="3"/>
  <c r="BH28" i="3"/>
  <c r="BH34" i="3" s="1"/>
  <c r="BH39" i="3" s="1"/>
  <c r="BH22" i="3"/>
  <c r="BH18" i="3"/>
  <c r="BH4" i="3"/>
  <c r="BH19" i="3"/>
  <c r="BH61" i="3" s="1"/>
  <c r="BH9" i="3"/>
  <c r="BH6" i="3"/>
  <c r="BI5" i="3"/>
  <c r="BH24" i="3"/>
  <c r="BH75" i="3" s="1"/>
  <c r="BH15" i="5" s="1"/>
  <c r="BH16" i="5" s="1"/>
  <c r="BH94" i="3"/>
  <c r="BG14" i="3"/>
  <c r="BG15" i="3"/>
  <c r="BG13" i="3"/>
  <c r="BG12" i="3"/>
  <c r="AZ74" i="3"/>
  <c r="AZ59" i="3"/>
  <c r="BA17" i="6"/>
  <c r="BA12" i="5"/>
  <c r="BE40" i="3"/>
  <c r="BF37" i="3"/>
  <c r="BG35" i="3"/>
  <c r="BG63" i="3" s="1"/>
  <c r="BG64" i="3" s="1"/>
  <c r="BG72" i="3" s="1"/>
  <c r="BE55" i="3"/>
  <c r="BE41" i="3"/>
  <c r="BB11" i="5"/>
  <c r="BD53" i="3"/>
  <c r="BD47" i="3"/>
  <c r="BD49" i="3" s="1"/>
  <c r="BC86" i="3"/>
  <c r="BC10" i="6" s="1"/>
  <c r="BC11" i="5" s="1"/>
  <c r="BC54" i="3"/>
  <c r="BC57" i="3" s="1"/>
  <c r="BF19" i="6"/>
  <c r="BG81" i="3"/>
  <c r="BA58" i="3"/>
  <c r="BG6" i="6"/>
  <c r="BG6" i="5"/>
  <c r="BE46" i="3"/>
  <c r="BE48" i="3"/>
  <c r="BE42" i="3"/>
  <c r="BD43" i="3"/>
  <c r="BE52" i="3"/>
  <c r="BE45" i="3"/>
  <c r="BF71" i="3"/>
  <c r="BF72" i="3" s="1"/>
  <c r="BH62" i="3" l="1"/>
  <c r="BH35" i="3"/>
  <c r="BH63" i="3" s="1"/>
  <c r="BC85" i="3"/>
  <c r="BC87" i="3" s="1"/>
  <c r="BC16" i="6" s="1"/>
  <c r="BC58" i="3"/>
  <c r="BD86" i="3"/>
  <c r="BD10" i="6" s="1"/>
  <c r="BD11" i="5" s="1"/>
  <c r="BD54" i="3"/>
  <c r="BD57" i="3" s="1"/>
  <c r="BH81" i="3"/>
  <c r="BF46" i="3"/>
  <c r="BF48" i="3"/>
  <c r="BF42" i="3"/>
  <c r="BF45" i="3"/>
  <c r="BF52" i="3"/>
  <c r="BE43" i="3"/>
  <c r="BH11" i="6"/>
  <c r="BH6" i="6"/>
  <c r="BH6" i="5"/>
  <c r="BA74" i="3"/>
  <c r="BA59" i="3"/>
  <c r="BG37" i="3"/>
  <c r="BF40" i="3"/>
  <c r="BI5" i="6"/>
  <c r="BI5" i="5"/>
  <c r="BI88" i="3"/>
  <c r="BI18" i="5" s="1"/>
  <c r="BI19" i="5" s="1"/>
  <c r="BI29" i="3"/>
  <c r="BI70" i="3"/>
  <c r="BI27" i="3"/>
  <c r="BI33" i="3" s="1"/>
  <c r="BI38" i="3" s="1"/>
  <c r="BI31" i="3"/>
  <c r="BI30" i="3"/>
  <c r="BI26" i="3"/>
  <c r="BI32" i="3" s="1"/>
  <c r="BI21" i="3"/>
  <c r="BI28" i="3"/>
  <c r="BI34" i="3" s="1"/>
  <c r="BI39" i="3" s="1"/>
  <c r="BI18" i="3"/>
  <c r="BI22" i="3"/>
  <c r="BI20" i="3"/>
  <c r="BI4" i="3"/>
  <c r="BI24" i="3"/>
  <c r="BI75" i="3" s="1"/>
  <c r="BI15" i="5" s="1"/>
  <c r="BI16" i="5" s="1"/>
  <c r="BI9" i="3"/>
  <c r="BI19" i="3"/>
  <c r="BI61" i="3" s="1"/>
  <c r="BI6" i="3"/>
  <c r="BI10" i="3"/>
  <c r="BI94" i="3"/>
  <c r="BJ5" i="3"/>
  <c r="BF55" i="3"/>
  <c r="BF41" i="3"/>
  <c r="BH64" i="3"/>
  <c r="BG16" i="3"/>
  <c r="BH4" i="6"/>
  <c r="BH4" i="5"/>
  <c r="BB74" i="3"/>
  <c r="BB59" i="3"/>
  <c r="BD50" i="3"/>
  <c r="BD92" i="3" s="1"/>
  <c r="BG19" i="6"/>
  <c r="BH15" i="3"/>
  <c r="BH13" i="3"/>
  <c r="BH12" i="3"/>
  <c r="BH14" i="3"/>
  <c r="BH65" i="3"/>
  <c r="BH66" i="3" s="1"/>
  <c r="BH23" i="3"/>
  <c r="BH68" i="3" s="1"/>
  <c r="BB17" i="6"/>
  <c r="BB12" i="5"/>
  <c r="BE53" i="3"/>
  <c r="BE47" i="3"/>
  <c r="BE50" i="3" s="1"/>
  <c r="BE92" i="3" s="1"/>
  <c r="BH67" i="3"/>
  <c r="BH71" i="3" s="1"/>
  <c r="BD85" i="3" l="1"/>
  <c r="BD87" i="3" s="1"/>
  <c r="BD16" i="6" s="1"/>
  <c r="BD58" i="3"/>
  <c r="BI6" i="6"/>
  <c r="BI6" i="5"/>
  <c r="BI4" i="6"/>
  <c r="BI4" i="5"/>
  <c r="BG55" i="3"/>
  <c r="BG41" i="3"/>
  <c r="BI65" i="3"/>
  <c r="BI66" i="3" s="1"/>
  <c r="BI23" i="3"/>
  <c r="BI68" i="3" s="1"/>
  <c r="BG46" i="3"/>
  <c r="BG48" i="3"/>
  <c r="BG42" i="3"/>
  <c r="BG52" i="3"/>
  <c r="BG45" i="3"/>
  <c r="BF43" i="3"/>
  <c r="BI67" i="3"/>
  <c r="BI13" i="3"/>
  <c r="BI12" i="3"/>
  <c r="BI14" i="3"/>
  <c r="BI15" i="3"/>
  <c r="BI62" i="3"/>
  <c r="BE49" i="3"/>
  <c r="BH72" i="3"/>
  <c r="BH37" i="3"/>
  <c r="BG40" i="3"/>
  <c r="BI56" i="3"/>
  <c r="BC74" i="3"/>
  <c r="BC59" i="3"/>
  <c r="BI35" i="3"/>
  <c r="BI63" i="3" s="1"/>
  <c r="BI11" i="6"/>
  <c r="BJ5" i="6"/>
  <c r="BJ5" i="5"/>
  <c r="BJ88" i="3"/>
  <c r="BJ18" i="5" s="1"/>
  <c r="BJ19" i="5" s="1"/>
  <c r="BJ94" i="3"/>
  <c r="BJ29" i="3"/>
  <c r="BJ27" i="3"/>
  <c r="BJ33" i="3" s="1"/>
  <c r="BJ38" i="3" s="1"/>
  <c r="BJ31" i="3"/>
  <c r="BJ70" i="3"/>
  <c r="BJ21" i="3"/>
  <c r="BJ10" i="3"/>
  <c r="BJ28" i="3"/>
  <c r="BJ34" i="3" s="1"/>
  <c r="BJ39" i="3" s="1"/>
  <c r="BJ22" i="3"/>
  <c r="BJ18" i="3"/>
  <c r="BJ20" i="3"/>
  <c r="BJ4" i="3"/>
  <c r="BJ26" i="3"/>
  <c r="BJ32" i="3" s="1"/>
  <c r="BJ19" i="3"/>
  <c r="BJ61" i="3" s="1"/>
  <c r="BJ30" i="3"/>
  <c r="BJ9" i="3"/>
  <c r="BJ6" i="3"/>
  <c r="BJ24" i="3"/>
  <c r="BJ75" i="3" s="1"/>
  <c r="BJ15" i="5" s="1"/>
  <c r="BJ16" i="5" s="1"/>
  <c r="BK5" i="3"/>
  <c r="BC17" i="6"/>
  <c r="BC12" i="5"/>
  <c r="BH16" i="3"/>
  <c r="BH19" i="6"/>
  <c r="BI81" i="3"/>
  <c r="BF53" i="3"/>
  <c r="BF47" i="3"/>
  <c r="BF49" i="3" s="1"/>
  <c r="BI64" i="3" l="1"/>
  <c r="BF86" i="3"/>
  <c r="BF10" i="6" s="1"/>
  <c r="BF54" i="3"/>
  <c r="BF57" i="3" s="1"/>
  <c r="BJ15" i="3"/>
  <c r="BJ14" i="3"/>
  <c r="BJ13" i="3"/>
  <c r="BJ12" i="3"/>
  <c r="BI16" i="3"/>
  <c r="BJ6" i="6"/>
  <c r="BJ6" i="5"/>
  <c r="BJ4" i="6"/>
  <c r="BJ4" i="5"/>
  <c r="BF50" i="3"/>
  <c r="BF92" i="3" s="1"/>
  <c r="BJ62" i="3"/>
  <c r="BJ64" i="3" s="1"/>
  <c r="BJ11" i="6"/>
  <c r="BH42" i="3"/>
  <c r="BH48" i="3"/>
  <c r="BH46" i="3"/>
  <c r="BH52" i="3"/>
  <c r="BG43" i="3"/>
  <c r="BH45" i="3"/>
  <c r="BG49" i="3"/>
  <c r="BJ65" i="3"/>
  <c r="BJ66" i="3" s="1"/>
  <c r="BJ23" i="3"/>
  <c r="BJ68" i="3" s="1"/>
  <c r="BI71" i="3"/>
  <c r="BI72" i="3" s="1"/>
  <c r="BD74" i="3"/>
  <c r="BD59" i="3"/>
  <c r="BJ56" i="3"/>
  <c r="BH55" i="3"/>
  <c r="BH41" i="3"/>
  <c r="BD17" i="6"/>
  <c r="BD12" i="5"/>
  <c r="BJ35" i="3"/>
  <c r="BJ63" i="3" s="1"/>
  <c r="BI19" i="6"/>
  <c r="BJ67" i="3"/>
  <c r="BI37" i="3"/>
  <c r="BH40" i="3"/>
  <c r="BK5" i="6"/>
  <c r="BK5" i="5"/>
  <c r="BK88" i="3"/>
  <c r="BK18" i="5" s="1"/>
  <c r="BK19" i="5" s="1"/>
  <c r="BK94" i="3"/>
  <c r="BK30" i="3"/>
  <c r="BK31" i="3"/>
  <c r="BK70" i="3"/>
  <c r="BK21" i="3"/>
  <c r="BK56" i="3" s="1"/>
  <c r="BK29" i="3"/>
  <c r="BK28" i="3"/>
  <c r="BK34" i="3" s="1"/>
  <c r="BK39" i="3" s="1"/>
  <c r="BK22" i="3"/>
  <c r="BK4" i="3"/>
  <c r="BK18" i="3"/>
  <c r="BK20" i="3"/>
  <c r="BK62" i="3" s="1"/>
  <c r="BK19" i="3"/>
  <c r="BK10" i="3"/>
  <c r="BK26" i="3"/>
  <c r="BK32" i="3" s="1"/>
  <c r="BK27" i="3"/>
  <c r="BK33" i="3" s="1"/>
  <c r="BK38" i="3" s="1"/>
  <c r="BK24" i="3"/>
  <c r="BK75" i="3" s="1"/>
  <c r="BK15" i="5" s="1"/>
  <c r="BK16" i="5" s="1"/>
  <c r="BK6" i="3"/>
  <c r="BK9" i="3"/>
  <c r="BL5" i="3"/>
  <c r="BK76" i="3" s="1"/>
  <c r="BK10" i="5" s="1"/>
  <c r="BF76" i="3"/>
  <c r="BF10" i="5" s="1"/>
  <c r="BG76" i="3"/>
  <c r="BG10" i="5" s="1"/>
  <c r="BI76" i="3"/>
  <c r="BI10" i="5" s="1"/>
  <c r="BH76" i="3"/>
  <c r="BH10" i="5" s="1"/>
  <c r="BG53" i="3"/>
  <c r="BG47" i="3"/>
  <c r="BG50" i="3" s="1"/>
  <c r="BG92" i="3" s="1"/>
  <c r="BJ81" i="3"/>
  <c r="BE86" i="3"/>
  <c r="BE10" i="6" s="1"/>
  <c r="BE11" i="5" s="1"/>
  <c r="BE54" i="3"/>
  <c r="BE57" i="3" s="1"/>
  <c r="BE85" i="3" s="1"/>
  <c r="BE87" i="3" s="1"/>
  <c r="BE16" i="6" s="1"/>
  <c r="BK61" i="3" l="1"/>
  <c r="BK67" i="3"/>
  <c r="BF85" i="3"/>
  <c r="BF87" i="3" s="1"/>
  <c r="BF16" i="6" s="1"/>
  <c r="BF58" i="3"/>
  <c r="BI41" i="3"/>
  <c r="BI55" i="3"/>
  <c r="BJ71" i="3"/>
  <c r="BJ72" i="3" s="1"/>
  <c r="BH53" i="3"/>
  <c r="BH47" i="3"/>
  <c r="BH50" i="3" s="1"/>
  <c r="BH92" i="3" s="1"/>
  <c r="BJ19" i="6"/>
  <c r="BJ16" i="3"/>
  <c r="BK11" i="6"/>
  <c r="BK65" i="3"/>
  <c r="BK66" i="3" s="1"/>
  <c r="BK23" i="3"/>
  <c r="BK68" i="3" s="1"/>
  <c r="BK71" i="3" s="1"/>
  <c r="BG86" i="3"/>
  <c r="BG10" i="6" s="1"/>
  <c r="BG11" i="5" s="1"/>
  <c r="BG54" i="3"/>
  <c r="BG57" i="3" s="1"/>
  <c r="BK4" i="6"/>
  <c r="BK4" i="5"/>
  <c r="BJ37" i="3"/>
  <c r="BI40" i="3"/>
  <c r="BL5" i="6"/>
  <c r="BL94" i="3"/>
  <c r="BL5" i="5"/>
  <c r="BL88" i="3"/>
  <c r="BL76" i="3"/>
  <c r="BL10" i="5" s="1"/>
  <c r="BL30" i="3"/>
  <c r="BL70" i="3"/>
  <c r="BL31" i="3"/>
  <c r="BL29" i="3"/>
  <c r="BL28" i="3"/>
  <c r="BL34" i="3" s="1"/>
  <c r="BL39" i="3" s="1"/>
  <c r="G8" i="4" s="1"/>
  <c r="BL22" i="3"/>
  <c r="BL20" i="3"/>
  <c r="BL27" i="3"/>
  <c r="BL33" i="3" s="1"/>
  <c r="BL38" i="3" s="1"/>
  <c r="G7" i="4" s="1"/>
  <c r="BL4" i="3"/>
  <c r="BL10" i="3"/>
  <c r="BL26" i="3"/>
  <c r="BL19" i="3"/>
  <c r="BL24" i="3"/>
  <c r="BL75" i="3" s="1"/>
  <c r="BL15" i="5" s="1"/>
  <c r="BL16" i="5" s="1"/>
  <c r="BL9" i="3"/>
  <c r="BL21" i="3"/>
  <c r="BL18" i="3"/>
  <c r="BL6" i="3"/>
  <c r="F76" i="3"/>
  <c r="E76" i="3"/>
  <c r="G76" i="3"/>
  <c r="I76" i="3"/>
  <c r="H76" i="3"/>
  <c r="K76" i="3"/>
  <c r="J76" i="3"/>
  <c r="N76" i="3"/>
  <c r="M76" i="3"/>
  <c r="L76" i="3"/>
  <c r="O76" i="3"/>
  <c r="Q76" i="3"/>
  <c r="P76" i="3"/>
  <c r="R76" i="3"/>
  <c r="S76" i="3"/>
  <c r="V76" i="3"/>
  <c r="T76" i="3"/>
  <c r="U76" i="3"/>
  <c r="W76" i="3"/>
  <c r="X76" i="3"/>
  <c r="Y76" i="3"/>
  <c r="Z76" i="3"/>
  <c r="AA76" i="3"/>
  <c r="AB76" i="3"/>
  <c r="AC76" i="3"/>
  <c r="AD76" i="3"/>
  <c r="AE76" i="3"/>
  <c r="AG76" i="3"/>
  <c r="AH76" i="3"/>
  <c r="AF76" i="3"/>
  <c r="AI76" i="3"/>
  <c r="AJ76" i="3"/>
  <c r="AK76" i="3"/>
  <c r="AL76" i="3"/>
  <c r="AM76" i="3"/>
  <c r="AO76" i="3"/>
  <c r="AR76" i="3"/>
  <c r="AN76" i="3"/>
  <c r="AP76" i="3"/>
  <c r="AQ76" i="3"/>
  <c r="AT76" i="3"/>
  <c r="AS76" i="3"/>
  <c r="AX76" i="3"/>
  <c r="AU76" i="3"/>
  <c r="AW76" i="3"/>
  <c r="AV76" i="3"/>
  <c r="AY76" i="3"/>
  <c r="AZ76" i="3"/>
  <c r="BB76" i="3"/>
  <c r="BA76" i="3"/>
  <c r="BD76" i="3"/>
  <c r="BD10" i="5" s="1"/>
  <c r="BJ76" i="3"/>
  <c r="BJ10" i="5" s="1"/>
  <c r="BE76" i="3"/>
  <c r="BE10" i="5" s="1"/>
  <c r="BC76" i="3"/>
  <c r="BI52" i="3"/>
  <c r="BI42" i="3"/>
  <c r="BH43" i="3"/>
  <c r="BI46" i="3"/>
  <c r="BI45" i="3"/>
  <c r="BI48" i="3"/>
  <c r="BK35" i="3"/>
  <c r="BK63" i="3" s="1"/>
  <c r="BK64" i="3" s="1"/>
  <c r="BF11" i="5"/>
  <c r="BK15" i="3"/>
  <c r="BK12" i="3"/>
  <c r="BK13" i="3"/>
  <c r="BK14" i="3"/>
  <c r="BE17" i="6"/>
  <c r="BE12" i="5"/>
  <c r="BK6" i="6"/>
  <c r="BK6" i="5"/>
  <c r="BE58" i="3"/>
  <c r="BK81" i="3"/>
  <c r="BK72" i="3" l="1"/>
  <c r="BL56" i="3"/>
  <c r="BH49" i="3"/>
  <c r="BL62" i="3"/>
  <c r="BL67" i="3"/>
  <c r="BG85" i="3"/>
  <c r="BG87" i="3" s="1"/>
  <c r="BG16" i="6" s="1"/>
  <c r="BG58" i="3"/>
  <c r="AC10" i="5"/>
  <c r="AC77" i="3"/>
  <c r="BJ52" i="3"/>
  <c r="BJ42" i="3"/>
  <c r="BI43" i="3"/>
  <c r="BJ46" i="3"/>
  <c r="BJ45" i="3"/>
  <c r="BJ48" i="3"/>
  <c r="AP10" i="5"/>
  <c r="AP77" i="3"/>
  <c r="H10" i="5"/>
  <c r="H77" i="3"/>
  <c r="BH86" i="3"/>
  <c r="BH10" i="6" s="1"/>
  <c r="BH11" i="5" s="1"/>
  <c r="BH54" i="3"/>
  <c r="BH57" i="3" s="1"/>
  <c r="BH85" i="3" s="1"/>
  <c r="BH87" i="3" s="1"/>
  <c r="BH16" i="6" s="1"/>
  <c r="BK19" i="6"/>
  <c r="AO10" i="5"/>
  <c r="AO77" i="3"/>
  <c r="X10" i="5"/>
  <c r="X77" i="3"/>
  <c r="I10" i="5"/>
  <c r="I77" i="3"/>
  <c r="AQ10" i="5"/>
  <c r="AQ77" i="3"/>
  <c r="AT10" i="5"/>
  <c r="AT77" i="3"/>
  <c r="BL4" i="6"/>
  <c r="BL4" i="5"/>
  <c r="AN10" i="5"/>
  <c r="AN77" i="3"/>
  <c r="AL10" i="5"/>
  <c r="AL77" i="3"/>
  <c r="AY10" i="5"/>
  <c r="AY77" i="3"/>
  <c r="BL65" i="3"/>
  <c r="BL66" i="3" s="1"/>
  <c r="C34" i="4" s="1"/>
  <c r="BL23" i="3"/>
  <c r="AB10" i="5"/>
  <c r="AB77" i="3"/>
  <c r="BC10" i="5"/>
  <c r="BC77" i="3"/>
  <c r="AR10" i="5"/>
  <c r="AR77" i="3"/>
  <c r="G10" i="5"/>
  <c r="G77" i="3"/>
  <c r="BK16" i="3"/>
  <c r="BB10" i="5"/>
  <c r="BB77" i="3"/>
  <c r="V10" i="5"/>
  <c r="V77" i="3"/>
  <c r="BD77" i="3"/>
  <c r="AF10" i="5"/>
  <c r="AF77" i="3"/>
  <c r="R10" i="5"/>
  <c r="R77" i="3"/>
  <c r="BF74" i="3"/>
  <c r="BF59" i="3"/>
  <c r="W10" i="5"/>
  <c r="W77" i="3"/>
  <c r="AK10" i="5"/>
  <c r="AK77" i="3"/>
  <c r="AJ10" i="5"/>
  <c r="AJ77" i="3"/>
  <c r="S10" i="5"/>
  <c r="S77" i="3"/>
  <c r="AW10" i="5"/>
  <c r="AW77" i="3"/>
  <c r="AH10" i="5"/>
  <c r="AH77" i="3"/>
  <c r="P10" i="5"/>
  <c r="P77" i="3"/>
  <c r="BL12" i="3"/>
  <c r="BL13" i="3"/>
  <c r="BL14" i="3"/>
  <c r="BL15" i="3"/>
  <c r="BL18" i="5"/>
  <c r="BL19" i="5" s="1"/>
  <c r="C17" i="9"/>
  <c r="E17" i="9" s="1"/>
  <c r="BF17" i="6"/>
  <c r="BF12" i="5"/>
  <c r="N10" i="5"/>
  <c r="N77" i="3"/>
  <c r="BK37" i="3"/>
  <c r="BJ40" i="3"/>
  <c r="Z10" i="5"/>
  <c r="Z77" i="3"/>
  <c r="BA10" i="5"/>
  <c r="BA77" i="3"/>
  <c r="T10" i="5"/>
  <c r="T77" i="3"/>
  <c r="AI10" i="5"/>
  <c r="AI77" i="3"/>
  <c r="AU10" i="5"/>
  <c r="AU77" i="3"/>
  <c r="AG10" i="5"/>
  <c r="AG77" i="3"/>
  <c r="Q10" i="5"/>
  <c r="Q77" i="3"/>
  <c r="BE74" i="3"/>
  <c r="BE59" i="3"/>
  <c r="AA10" i="5"/>
  <c r="AA77" i="3"/>
  <c r="K10" i="5"/>
  <c r="K77" i="3"/>
  <c r="AM10" i="5"/>
  <c r="AM77" i="3"/>
  <c r="E12" i="6"/>
  <c r="E10" i="5"/>
  <c r="C40" i="4"/>
  <c r="E77" i="3"/>
  <c r="F10" i="5"/>
  <c r="F77" i="3"/>
  <c r="AZ10" i="5"/>
  <c r="AZ77" i="3"/>
  <c r="BL6" i="6"/>
  <c r="BL6" i="5"/>
  <c r="E38" i="4"/>
  <c r="C28" i="4"/>
  <c r="F18" i="4"/>
  <c r="D33" i="4"/>
  <c r="E24" i="4"/>
  <c r="E16" i="4"/>
  <c r="D27" i="4"/>
  <c r="F24" i="4"/>
  <c r="F36" i="4"/>
  <c r="D13" i="4"/>
  <c r="F13" i="4"/>
  <c r="D38" i="4"/>
  <c r="F28" i="4"/>
  <c r="D26" i="4"/>
  <c r="E13" i="4"/>
  <c r="D10" i="4"/>
  <c r="B14" i="7"/>
  <c r="D40" i="4"/>
  <c r="D15" i="4"/>
  <c r="L6" i="7"/>
  <c r="C51" i="4"/>
  <c r="F51" i="4"/>
  <c r="F33" i="4"/>
  <c r="F50" i="4" s="1"/>
  <c r="D36" i="4"/>
  <c r="E51" i="4"/>
  <c r="G51" i="4"/>
  <c r="E27" i="4"/>
  <c r="E34" i="4"/>
  <c r="D18" i="4"/>
  <c r="E29" i="4"/>
  <c r="D16" i="4"/>
  <c r="D21" i="4" s="1"/>
  <c r="E33" i="4"/>
  <c r="K7" i="7"/>
  <c r="D35" i="4"/>
  <c r="F25" i="4"/>
  <c r="D30" i="4"/>
  <c r="D31" i="4" s="1"/>
  <c r="E18" i="4"/>
  <c r="F26" i="4"/>
  <c r="E30" i="4"/>
  <c r="E40" i="4"/>
  <c r="F10" i="4"/>
  <c r="F30" i="4"/>
  <c r="F11" i="4"/>
  <c r="F15" i="4"/>
  <c r="F29" i="4"/>
  <c r="E36" i="4"/>
  <c r="E25" i="4"/>
  <c r="F27" i="4"/>
  <c r="E17" i="4"/>
  <c r="D28" i="4"/>
  <c r="L7" i="7"/>
  <c r="G40" i="4"/>
  <c r="E26" i="4"/>
  <c r="E10" i="4"/>
  <c r="D34" i="4"/>
  <c r="F38" i="4"/>
  <c r="E15" i="4"/>
  <c r="D29" i="4"/>
  <c r="F34" i="4"/>
  <c r="F35" i="4"/>
  <c r="K6" i="7"/>
  <c r="D11" i="4"/>
  <c r="D17" i="4"/>
  <c r="D22" i="4" s="1"/>
  <c r="F17" i="4"/>
  <c r="L8" i="7"/>
  <c r="B15" i="7"/>
  <c r="D25" i="4"/>
  <c r="K8" i="7"/>
  <c r="F16" i="4"/>
  <c r="D24" i="4"/>
  <c r="G28" i="4"/>
  <c r="E35" i="4"/>
  <c r="D51" i="4"/>
  <c r="C10" i="4"/>
  <c r="E28" i="4"/>
  <c r="F40" i="4"/>
  <c r="E11" i="4"/>
  <c r="AV10" i="5"/>
  <c r="AV77" i="3"/>
  <c r="BI47" i="3"/>
  <c r="BI53" i="3"/>
  <c r="AX10" i="5"/>
  <c r="AX77" i="3"/>
  <c r="AE10" i="5"/>
  <c r="AE77" i="3"/>
  <c r="O10" i="5"/>
  <c r="O77" i="3"/>
  <c r="BL61" i="3"/>
  <c r="M10" i="5"/>
  <c r="M77" i="3"/>
  <c r="BJ55" i="3"/>
  <c r="BJ41" i="3"/>
  <c r="J10" i="5"/>
  <c r="J77" i="3"/>
  <c r="Y10" i="5"/>
  <c r="Y77" i="3"/>
  <c r="U10" i="5"/>
  <c r="U77" i="3"/>
  <c r="BI49" i="3"/>
  <c r="BI50" i="3"/>
  <c r="BI92" i="3" s="1"/>
  <c r="AS10" i="5"/>
  <c r="AS77" i="3"/>
  <c r="AD10" i="5"/>
  <c r="AD77" i="3"/>
  <c r="L10" i="5"/>
  <c r="L77" i="3"/>
  <c r="BL32" i="3"/>
  <c r="BL11" i="6"/>
  <c r="H28" i="4" l="1"/>
  <c r="D39" i="4"/>
  <c r="BF77" i="3"/>
  <c r="BS11" i="6"/>
  <c r="F19" i="4"/>
  <c r="BL16" i="3"/>
  <c r="BL37" i="3"/>
  <c r="BK40" i="3"/>
  <c r="F39" i="4"/>
  <c r="BK55" i="3"/>
  <c r="BK41" i="3"/>
  <c r="BK52" i="3"/>
  <c r="BK42" i="3"/>
  <c r="BJ43" i="3"/>
  <c r="BK46" i="3"/>
  <c r="BK45" i="3"/>
  <c r="BK48" i="3"/>
  <c r="F22" i="4"/>
  <c r="BN19" i="5"/>
  <c r="BQ18" i="5"/>
  <c r="BP19" i="5"/>
  <c r="BN15" i="5"/>
  <c r="BP12" i="5"/>
  <c r="BN18" i="5"/>
  <c r="BQ19" i="5"/>
  <c r="BO19" i="5"/>
  <c r="BP18" i="5"/>
  <c r="BP11" i="5"/>
  <c r="BO18" i="5"/>
  <c r="BR19" i="5"/>
  <c r="BO15" i="5"/>
  <c r="BO16" i="5"/>
  <c r="BR18" i="5"/>
  <c r="BQ12" i="5"/>
  <c r="BO11" i="5"/>
  <c r="BR15" i="5"/>
  <c r="BO10" i="5"/>
  <c r="BQ15" i="5"/>
  <c r="BP10" i="5"/>
  <c r="BR10" i="5"/>
  <c r="BO12" i="5"/>
  <c r="BR16" i="5"/>
  <c r="BQ11" i="5"/>
  <c r="BQ10" i="5"/>
  <c r="BN16" i="5"/>
  <c r="BQ16" i="5"/>
  <c r="BP15" i="5"/>
  <c r="BP16" i="5"/>
  <c r="BJ47" i="3"/>
  <c r="BJ49" i="3" s="1"/>
  <c r="BJ53" i="3"/>
  <c r="G34" i="4"/>
  <c r="H34" i="4" s="1"/>
  <c r="D20" i="4"/>
  <c r="E79" i="3"/>
  <c r="C41" i="4"/>
  <c r="F20" i="4"/>
  <c r="C16" i="9"/>
  <c r="E16" i="9" s="1"/>
  <c r="BL68" i="3"/>
  <c r="BL71" i="3" s="1"/>
  <c r="G49" i="4"/>
  <c r="E50" i="4"/>
  <c r="E19" i="4"/>
  <c r="H40" i="4"/>
  <c r="BL35" i="3"/>
  <c r="C15" i="9"/>
  <c r="E15" i="9" s="1"/>
  <c r="F31" i="4"/>
  <c r="E41" i="4"/>
  <c r="E21" i="4"/>
  <c r="BN10" i="5"/>
  <c r="BL19" i="6"/>
  <c r="E39" i="4"/>
  <c r="H51" i="4"/>
  <c r="F41" i="4"/>
  <c r="E22" i="4"/>
  <c r="B16" i="7"/>
  <c r="F12" i="6"/>
  <c r="E13" i="6"/>
  <c r="BH17" i="6"/>
  <c r="BH12" i="5"/>
  <c r="BG74" i="3"/>
  <c r="BG59" i="3"/>
  <c r="D41" i="4"/>
  <c r="BE77" i="3"/>
  <c r="BJ50" i="3"/>
  <c r="BJ92" i="3" s="1"/>
  <c r="BI86" i="3"/>
  <c r="BI10" i="6" s="1"/>
  <c r="BI11" i="5" s="1"/>
  <c r="BI54" i="3"/>
  <c r="F21" i="4"/>
  <c r="E20" i="4"/>
  <c r="E31" i="4"/>
  <c r="D50" i="4"/>
  <c r="C35" i="9" s="1"/>
  <c r="E35" i="9" s="1"/>
  <c r="BH58" i="3"/>
  <c r="BG17" i="6"/>
  <c r="BG12" i="5"/>
  <c r="BS19" i="6" l="1"/>
  <c r="BJ54" i="3"/>
  <c r="BJ57" i="3" s="1"/>
  <c r="BJ85" i="3" s="1"/>
  <c r="BJ87" i="3" s="1"/>
  <c r="BJ16" i="6" s="1"/>
  <c r="BJ58" i="3"/>
  <c r="BJ74" i="3" s="1"/>
  <c r="BJ86" i="3"/>
  <c r="BJ10" i="6" s="1"/>
  <c r="BJ11" i="5" s="1"/>
  <c r="BH74" i="3"/>
  <c r="BH59" i="3"/>
  <c r="E83" i="3"/>
  <c r="E80" i="3"/>
  <c r="G12" i="6"/>
  <c r="F13" i="6"/>
  <c r="G13" i="7"/>
  <c r="G24" i="7"/>
  <c r="G18" i="7"/>
  <c r="G28" i="7"/>
  <c r="G15" i="7"/>
  <c r="G21" i="7"/>
  <c r="G27" i="7"/>
  <c r="G14" i="7"/>
  <c r="G9" i="7"/>
  <c r="G19" i="7"/>
  <c r="G10" i="7"/>
  <c r="G7" i="7"/>
  <c r="G26" i="7"/>
  <c r="G17" i="7"/>
  <c r="G6" i="7"/>
  <c r="G12" i="7"/>
  <c r="G23" i="7"/>
  <c r="B17" i="7"/>
  <c r="G16" i="7"/>
  <c r="G25" i="7"/>
  <c r="G29" i="7"/>
  <c r="G8" i="7"/>
  <c r="G22" i="7"/>
  <c r="G5" i="7"/>
  <c r="G20" i="7"/>
  <c r="G11" i="7"/>
  <c r="B19" i="7"/>
  <c r="C35" i="4"/>
  <c r="G35" i="4"/>
  <c r="BG77" i="3"/>
  <c r="BK47" i="3"/>
  <c r="BK53" i="3"/>
  <c r="G15" i="4"/>
  <c r="BL55" i="3"/>
  <c r="C27" i="4" s="1"/>
  <c r="BL41" i="3"/>
  <c r="C11" i="4" s="1"/>
  <c r="BL40" i="3"/>
  <c r="G6" i="4"/>
  <c r="BI57" i="3"/>
  <c r="BL63" i="3"/>
  <c r="BL64" i="3" s="1"/>
  <c r="G10" i="4"/>
  <c r="H10" i="4" s="1"/>
  <c r="BL52" i="3"/>
  <c r="G24" i="4" s="1"/>
  <c r="BL42" i="3"/>
  <c r="BL48" i="3"/>
  <c r="C17" i="4" s="1"/>
  <c r="BK43" i="3"/>
  <c r="BL45" i="3"/>
  <c r="BL46" i="3"/>
  <c r="BL43" i="3" l="1"/>
  <c r="G12" i="4"/>
  <c r="C33" i="9" s="1"/>
  <c r="E33" i="9" s="1"/>
  <c r="BL72" i="3"/>
  <c r="L5" i="7"/>
  <c r="C33" i="4"/>
  <c r="L9" i="7"/>
  <c r="G33" i="4"/>
  <c r="G50" i="4" s="1"/>
  <c r="BJ77" i="3"/>
  <c r="C42" i="9"/>
  <c r="E42" i="9" s="1"/>
  <c r="B39" i="1"/>
  <c r="BH77" i="3"/>
  <c r="G17" i="4"/>
  <c r="C43" i="9"/>
  <c r="E43" i="9" s="1"/>
  <c r="B40" i="1"/>
  <c r="H17" i="4"/>
  <c r="BI85" i="3"/>
  <c r="BI87" i="3" s="1"/>
  <c r="BI16" i="6" s="1"/>
  <c r="BI58" i="3"/>
  <c r="H35" i="4"/>
  <c r="C14" i="9"/>
  <c r="E14" i="9" s="1"/>
  <c r="B34" i="7"/>
  <c r="G9" i="4"/>
  <c r="H12" i="6"/>
  <c r="G13" i="6"/>
  <c r="BJ59" i="3"/>
  <c r="BJ17" i="6"/>
  <c r="BL49" i="3"/>
  <c r="BL50" i="3"/>
  <c r="C15" i="4"/>
  <c r="BK50" i="3"/>
  <c r="BK92" i="3" s="1"/>
  <c r="E20" i="6"/>
  <c r="E9" i="5"/>
  <c r="E89" i="3"/>
  <c r="C24" i="4"/>
  <c r="H24" i="4" s="1"/>
  <c r="G27" i="4"/>
  <c r="H27" i="4" s="1"/>
  <c r="BL53" i="3"/>
  <c r="C25" i="4" s="1"/>
  <c r="BL47" i="3"/>
  <c r="C16" i="4" s="1"/>
  <c r="C13" i="4"/>
  <c r="G13" i="4"/>
  <c r="BK49" i="3"/>
  <c r="G11" i="4"/>
  <c r="H11" i="4" s="1"/>
  <c r="E9" i="6" l="1"/>
  <c r="E14" i="6" s="1"/>
  <c r="E91" i="3"/>
  <c r="F78" i="3"/>
  <c r="E94" i="3"/>
  <c r="BK54" i="3"/>
  <c r="BK86" i="3"/>
  <c r="BK10" i="6" s="1"/>
  <c r="BK11" i="5" s="1"/>
  <c r="G18" i="4"/>
  <c r="B33" i="7"/>
  <c r="BI17" i="6"/>
  <c r="BI12" i="5"/>
  <c r="I12" i="6"/>
  <c r="H13" i="6"/>
  <c r="C32" i="9"/>
  <c r="E32" i="9" s="1"/>
  <c r="B34" i="1"/>
  <c r="E21" i="6"/>
  <c r="E22" i="6" s="1"/>
  <c r="J9" i="7"/>
  <c r="BL54" i="3"/>
  <c r="BL86" i="3"/>
  <c r="BL10" i="6" s="1"/>
  <c r="C10" i="9"/>
  <c r="E10" i="9" s="1"/>
  <c r="C18" i="4"/>
  <c r="G25" i="4"/>
  <c r="H25" i="4" s="1"/>
  <c r="G16" i="4"/>
  <c r="H16" i="4" s="1"/>
  <c r="E13" i="5"/>
  <c r="BI74" i="3"/>
  <c r="BI59" i="3"/>
  <c r="H15" i="4"/>
  <c r="H13" i="4"/>
  <c r="C36" i="4"/>
  <c r="G36" i="4"/>
  <c r="G22" i="4"/>
  <c r="H33" i="4"/>
  <c r="H50" i="4" s="1"/>
  <c r="C50" i="4"/>
  <c r="B36" i="7"/>
  <c r="BL92" i="3"/>
  <c r="D29" i="5" s="1"/>
  <c r="G47" i="4"/>
  <c r="BJ12" i="5"/>
  <c r="BL11" i="5" l="1"/>
  <c r="BS10" i="6"/>
  <c r="C11" i="9"/>
  <c r="E11" i="9" s="1"/>
  <c r="D19" i="4"/>
  <c r="H18" i="4"/>
  <c r="H22" i="4" s="1"/>
  <c r="B27" i="1"/>
  <c r="C22" i="4"/>
  <c r="H36" i="4"/>
  <c r="F79" i="3"/>
  <c r="C27" i="9"/>
  <c r="E27" i="9" s="1"/>
  <c r="B28" i="1"/>
  <c r="G19" i="4"/>
  <c r="G20" i="4"/>
  <c r="J12" i="6"/>
  <c r="I13" i="6"/>
  <c r="C31" i="9"/>
  <c r="E31" i="9" s="1"/>
  <c r="B32" i="1"/>
  <c r="D30" i="5"/>
  <c r="C36" i="9"/>
  <c r="E36" i="9" s="1"/>
  <c r="D34" i="5"/>
  <c r="D35" i="5" s="1"/>
  <c r="C22" i="9"/>
  <c r="E22" i="9" s="1"/>
  <c r="D33" i="5"/>
  <c r="D32" i="5"/>
  <c r="C38" i="9" s="1"/>
  <c r="E38" i="9" s="1"/>
  <c r="D31" i="5"/>
  <c r="C37" i="9" s="1"/>
  <c r="E37" i="9" s="1"/>
  <c r="B35" i="1"/>
  <c r="E24" i="5"/>
  <c r="E21" i="5"/>
  <c r="E25" i="5"/>
  <c r="E93" i="3"/>
  <c r="C26" i="4"/>
  <c r="BL57" i="3"/>
  <c r="C20" i="4"/>
  <c r="G26" i="4"/>
  <c r="BK57" i="3"/>
  <c r="BI77" i="3"/>
  <c r="B37" i="7"/>
  <c r="B40" i="7" s="1"/>
  <c r="B42" i="7" s="1"/>
  <c r="B39" i="7"/>
  <c r="B41" i="7" s="1"/>
  <c r="B43" i="7" s="1"/>
  <c r="B38" i="7"/>
  <c r="G21" i="4"/>
  <c r="C21" i="4"/>
  <c r="E24" i="6"/>
  <c r="F83" i="3" l="1"/>
  <c r="F80" i="3"/>
  <c r="BL85" i="3"/>
  <c r="BL87" i="3" s="1"/>
  <c r="BL16" i="6" s="1"/>
  <c r="C29" i="4"/>
  <c r="BL58" i="3"/>
  <c r="BK85" i="3"/>
  <c r="BK87" i="3" s="1"/>
  <c r="BK16" i="6" s="1"/>
  <c r="G29" i="4"/>
  <c r="BK58" i="3"/>
  <c r="H26" i="4"/>
  <c r="K12" i="6"/>
  <c r="J13" i="6"/>
  <c r="BN11" i="5"/>
  <c r="BR11" i="5"/>
  <c r="E23" i="5"/>
  <c r="H20" i="4"/>
  <c r="H21" i="4"/>
  <c r="BK12" i="5" l="1"/>
  <c r="BK17" i="6"/>
  <c r="L12" i="6"/>
  <c r="K13" i="6"/>
  <c r="BK74" i="3"/>
  <c r="K9" i="7"/>
  <c r="G30" i="4"/>
  <c r="G31" i="4" s="1"/>
  <c r="BK59" i="3"/>
  <c r="F22" i="5"/>
  <c r="H29" i="4"/>
  <c r="BL17" i="6"/>
  <c r="BL12" i="5"/>
  <c r="BS16" i="6"/>
  <c r="BL74" i="3"/>
  <c r="C30" i="4"/>
  <c r="K5" i="7"/>
  <c r="BL59" i="3"/>
  <c r="F9" i="5"/>
  <c r="F20" i="6"/>
  <c r="F89" i="3"/>
  <c r="F9" i="6" l="1"/>
  <c r="F14" i="6" s="1"/>
  <c r="F91" i="3"/>
  <c r="G78" i="3"/>
  <c r="F94" i="3"/>
  <c r="F21" i="6"/>
  <c r="F22" i="6" s="1"/>
  <c r="BK77" i="3"/>
  <c r="G38" i="4"/>
  <c r="M12" i="6"/>
  <c r="L13" i="6"/>
  <c r="BL77" i="3"/>
  <c r="BL96" i="3"/>
  <c r="C38" i="4"/>
  <c r="D45" i="5"/>
  <c r="D46" i="5" s="1"/>
  <c r="BN12" i="5"/>
  <c r="BR12" i="5"/>
  <c r="BS17" i="6"/>
  <c r="C34" i="9"/>
  <c r="E34" i="9" s="1"/>
  <c r="B29" i="1"/>
  <c r="F13" i="5"/>
  <c r="H30" i="4"/>
  <c r="H31" i="4" s="1"/>
  <c r="C31" i="4"/>
  <c r="C28" i="9" l="1"/>
  <c r="E28" i="9" s="1"/>
  <c r="G39" i="4"/>
  <c r="B30" i="1"/>
  <c r="F24" i="5"/>
  <c r="F21" i="5"/>
  <c r="BK96" i="3"/>
  <c r="BJ96" i="3" s="1"/>
  <c r="BI96" i="3" s="1"/>
  <c r="BH96" i="3" s="1"/>
  <c r="BG96" i="3" s="1"/>
  <c r="BF96" i="3" s="1"/>
  <c r="BE96" i="3" s="1"/>
  <c r="BD96" i="3" s="1"/>
  <c r="BC96" i="3" s="1"/>
  <c r="BB96" i="3" s="1"/>
  <c r="BA96" i="3" s="1"/>
  <c r="AZ96" i="3" s="1"/>
  <c r="AY96" i="3" s="1"/>
  <c r="AX96" i="3" s="1"/>
  <c r="AW96" i="3" s="1"/>
  <c r="AV96" i="3" s="1"/>
  <c r="AU96" i="3" s="1"/>
  <c r="AT96" i="3" s="1"/>
  <c r="AS96" i="3" s="1"/>
  <c r="AR96" i="3" s="1"/>
  <c r="AQ96" i="3" s="1"/>
  <c r="AP96" i="3" s="1"/>
  <c r="AO96" i="3" s="1"/>
  <c r="AN96" i="3" s="1"/>
  <c r="AM96" i="3" s="1"/>
  <c r="AL96" i="3" s="1"/>
  <c r="AK96" i="3" s="1"/>
  <c r="AJ96" i="3" s="1"/>
  <c r="AI96" i="3" s="1"/>
  <c r="AH96" i="3" s="1"/>
  <c r="AG96" i="3" s="1"/>
  <c r="AF96" i="3" s="1"/>
  <c r="AE96" i="3" s="1"/>
  <c r="AD96" i="3" s="1"/>
  <c r="AC96" i="3" s="1"/>
  <c r="AB96" i="3" s="1"/>
  <c r="AA96" i="3" s="1"/>
  <c r="Z96" i="3" s="1"/>
  <c r="Y96" i="3" s="1"/>
  <c r="X96" i="3" s="1"/>
  <c r="W96" i="3" s="1"/>
  <c r="V96" i="3" s="1"/>
  <c r="U96" i="3" s="1"/>
  <c r="T96" i="3" s="1"/>
  <c r="S96" i="3" s="1"/>
  <c r="R96" i="3" s="1"/>
  <c r="Q96" i="3" s="1"/>
  <c r="P96" i="3" s="1"/>
  <c r="O96" i="3" s="1"/>
  <c r="N96" i="3" s="1"/>
  <c r="M96" i="3" s="1"/>
  <c r="L96" i="3" s="1"/>
  <c r="K96" i="3" s="1"/>
  <c r="J96" i="3" s="1"/>
  <c r="I96" i="3" s="1"/>
  <c r="H96" i="3" s="1"/>
  <c r="G96" i="3" s="1"/>
  <c r="F96" i="3" s="1"/>
  <c r="E96" i="3" s="1"/>
  <c r="D43" i="5" s="1"/>
  <c r="C39" i="4"/>
  <c r="H38" i="4"/>
  <c r="H39" i="4" s="1"/>
  <c r="C12" i="9"/>
  <c r="E12" i="9" s="1"/>
  <c r="F25" i="5"/>
  <c r="F93" i="3"/>
  <c r="N12" i="6"/>
  <c r="M13" i="6"/>
  <c r="G41" i="4"/>
  <c r="H41" i="4" s="1"/>
  <c r="G79" i="3"/>
  <c r="F24" i="6"/>
  <c r="C41" i="9" l="1"/>
  <c r="E41" i="9" s="1"/>
  <c r="B38" i="1"/>
  <c r="F23" i="5"/>
  <c r="G83" i="3"/>
  <c r="G80" i="3"/>
  <c r="O12" i="6"/>
  <c r="N13" i="6"/>
  <c r="G22" i="5" l="1"/>
  <c r="P12" i="6"/>
  <c r="O13" i="6"/>
  <c r="G9" i="5"/>
  <c r="G20" i="6"/>
  <c r="G89" i="3"/>
  <c r="G21" i="6" l="1"/>
  <c r="G22" i="6" s="1"/>
  <c r="G9" i="6"/>
  <c r="G14" i="6" s="1"/>
  <c r="G24" i="6" s="1"/>
  <c r="G91" i="3"/>
  <c r="H78" i="3"/>
  <c r="G94" i="3"/>
  <c r="G13" i="5"/>
  <c r="BO12" i="6"/>
  <c r="Q12" i="6"/>
  <c r="P13" i="6"/>
  <c r="BO13" i="6" s="1"/>
  <c r="R12" i="6" l="1"/>
  <c r="Q13" i="6"/>
  <c r="G21" i="5"/>
  <c r="G24" i="5"/>
  <c r="H79" i="3"/>
  <c r="G25" i="5"/>
  <c r="G93" i="3"/>
  <c r="H83" i="3" l="1"/>
  <c r="H80" i="3"/>
  <c r="G23" i="5"/>
  <c r="S12" i="6"/>
  <c r="R13" i="6"/>
  <c r="T12" i="6" l="1"/>
  <c r="S13" i="6"/>
  <c r="H22" i="5"/>
  <c r="H9" i="5"/>
  <c r="H13" i="5" s="1"/>
  <c r="H20" i="6"/>
  <c r="H89" i="3"/>
  <c r="H9" i="6" l="1"/>
  <c r="H14" i="6" s="1"/>
  <c r="H91" i="3"/>
  <c r="I78" i="3"/>
  <c r="H94" i="3"/>
  <c r="H21" i="6"/>
  <c r="H22" i="6" s="1"/>
  <c r="H21" i="5"/>
  <c r="H24" i="5"/>
  <c r="H23" i="5"/>
  <c r="U12" i="6"/>
  <c r="T13" i="6"/>
  <c r="H25" i="5" l="1"/>
  <c r="H93" i="3"/>
  <c r="V12" i="6"/>
  <c r="U13" i="6"/>
  <c r="I22" i="5"/>
  <c r="I79" i="3"/>
  <c r="H24" i="6"/>
  <c r="I83" i="3" l="1"/>
  <c r="I80" i="3"/>
  <c r="W12" i="6"/>
  <c r="V13" i="6"/>
  <c r="X12" i="6" l="1"/>
  <c r="W13" i="6"/>
  <c r="I9" i="5"/>
  <c r="I13" i="5" s="1"/>
  <c r="I89" i="3"/>
  <c r="I20" i="6"/>
  <c r="I9" i="6" l="1"/>
  <c r="I14" i="6" s="1"/>
  <c r="I91" i="3"/>
  <c r="J78" i="3"/>
  <c r="I94" i="3"/>
  <c r="I21" i="6"/>
  <c r="I22" i="6" s="1"/>
  <c r="I24" i="5"/>
  <c r="I21" i="5"/>
  <c r="I23" i="5" s="1"/>
  <c r="Y12" i="6"/>
  <c r="X13" i="6"/>
  <c r="J22" i="5" l="1"/>
  <c r="I25" i="5"/>
  <c r="I93" i="3"/>
  <c r="Z12" i="6"/>
  <c r="Y13" i="6"/>
  <c r="J79" i="3"/>
  <c r="I24" i="6"/>
  <c r="J83" i="3" l="1"/>
  <c r="J80" i="3"/>
  <c r="AA12" i="6"/>
  <c r="Z13" i="6"/>
  <c r="AB12" i="6" l="1"/>
  <c r="AA13" i="6"/>
  <c r="J9" i="5"/>
  <c r="J13" i="5" s="1"/>
  <c r="J89" i="3"/>
  <c r="J20" i="6"/>
  <c r="J21" i="6" l="1"/>
  <c r="J22" i="6" s="1"/>
  <c r="J9" i="6"/>
  <c r="J14" i="6" s="1"/>
  <c r="J24" i="6" s="1"/>
  <c r="J91" i="3"/>
  <c r="K78" i="3"/>
  <c r="K79" i="3" s="1"/>
  <c r="J94" i="3"/>
  <c r="J24" i="5"/>
  <c r="J21" i="5"/>
  <c r="J23" i="5" s="1"/>
  <c r="K22" i="5" s="1"/>
  <c r="AC12" i="6"/>
  <c r="BP12" i="6"/>
  <c r="AB13" i="6"/>
  <c r="BP13" i="6" s="1"/>
  <c r="AD12" i="6" l="1"/>
  <c r="AC13" i="6"/>
  <c r="K83" i="3"/>
  <c r="K80" i="3"/>
  <c r="J25" i="5"/>
  <c r="J93" i="3"/>
  <c r="K9" i="5" l="1"/>
  <c r="K13" i="5" s="1"/>
  <c r="K20" i="6"/>
  <c r="K89" i="3"/>
  <c r="AE12" i="6"/>
  <c r="AD13" i="6"/>
  <c r="AF12" i="6" l="1"/>
  <c r="AE13" i="6"/>
  <c r="K21" i="6"/>
  <c r="K22" i="6" s="1"/>
  <c r="K9" i="6"/>
  <c r="K14" i="6" s="1"/>
  <c r="L78" i="3"/>
  <c r="L79" i="3" s="1"/>
  <c r="K91" i="3"/>
  <c r="K94" i="3"/>
  <c r="K24" i="5"/>
  <c r="K21" i="5"/>
  <c r="K23" i="5" s="1"/>
  <c r="L22" i="5" s="1"/>
  <c r="K25" i="5" l="1"/>
  <c r="K93" i="3"/>
  <c r="L83" i="3"/>
  <c r="L80" i="3"/>
  <c r="K24" i="6"/>
  <c r="AG12" i="6"/>
  <c r="AF13" i="6"/>
  <c r="AH12" i="6" l="1"/>
  <c r="AG13" i="6"/>
  <c r="L9" i="5"/>
  <c r="L13" i="5" s="1"/>
  <c r="L20" i="6"/>
  <c r="L89" i="3"/>
  <c r="L21" i="6" l="1"/>
  <c r="L22" i="6" s="1"/>
  <c r="L9" i="6"/>
  <c r="L14" i="6" s="1"/>
  <c r="L24" i="6" s="1"/>
  <c r="L91" i="3"/>
  <c r="M78" i="3"/>
  <c r="M79" i="3" s="1"/>
  <c r="L94" i="3"/>
  <c r="L24" i="5"/>
  <c r="L21" i="5"/>
  <c r="L23" i="5" s="1"/>
  <c r="M22" i="5" s="1"/>
  <c r="AI12" i="6"/>
  <c r="AH13" i="6"/>
  <c r="AJ12" i="6" l="1"/>
  <c r="AI13" i="6"/>
  <c r="M83" i="3"/>
  <c r="M80" i="3"/>
  <c r="L25" i="5"/>
  <c r="L93" i="3"/>
  <c r="M9" i="5" l="1"/>
  <c r="M13" i="5" s="1"/>
  <c r="M20" i="6"/>
  <c r="M89" i="3"/>
  <c r="AK12" i="6"/>
  <c r="AJ13" i="6"/>
  <c r="AL12" i="6" l="1"/>
  <c r="AK13" i="6"/>
  <c r="M9" i="6"/>
  <c r="M14" i="6" s="1"/>
  <c r="M91" i="3"/>
  <c r="N78" i="3"/>
  <c r="N79" i="3" s="1"/>
  <c r="M94" i="3"/>
  <c r="M21" i="6"/>
  <c r="M22" i="6" s="1"/>
  <c r="M24" i="5"/>
  <c r="M21" i="5"/>
  <c r="M23" i="5" s="1"/>
  <c r="N22" i="5" s="1"/>
  <c r="M24" i="6" l="1"/>
  <c r="N83" i="3"/>
  <c r="N80" i="3"/>
  <c r="M25" i="5"/>
  <c r="M93" i="3"/>
  <c r="AM12" i="6"/>
  <c r="AL13" i="6"/>
  <c r="N9" i="5" l="1"/>
  <c r="N13" i="5" s="1"/>
  <c r="N89" i="3"/>
  <c r="N20" i="6"/>
  <c r="AN12" i="6"/>
  <c r="AM13" i="6"/>
  <c r="N9" i="6" l="1"/>
  <c r="N14" i="6" s="1"/>
  <c r="N91" i="3"/>
  <c r="O78" i="3"/>
  <c r="O79" i="3" s="1"/>
  <c r="N94" i="3"/>
  <c r="AO12" i="6"/>
  <c r="BQ12" i="6"/>
  <c r="AN13" i="6"/>
  <c r="BQ13" i="6" s="1"/>
  <c r="N21" i="6"/>
  <c r="N22" i="6" s="1"/>
  <c r="N24" i="5"/>
  <c r="N21" i="5"/>
  <c r="N23" i="5" s="1"/>
  <c r="O22" i="5" s="1"/>
  <c r="AP12" i="6" l="1"/>
  <c r="AO13" i="6"/>
  <c r="O83" i="3"/>
  <c r="O80" i="3"/>
  <c r="N25" i="5"/>
  <c r="N93" i="3"/>
  <c r="N24" i="6"/>
  <c r="O9" i="5" l="1"/>
  <c r="O13" i="5" s="1"/>
  <c r="O89" i="3"/>
  <c r="O20" i="6"/>
  <c r="AQ12" i="6"/>
  <c r="AP13" i="6"/>
  <c r="O9" i="6" l="1"/>
  <c r="O14" i="6" s="1"/>
  <c r="O91" i="3"/>
  <c r="P78" i="3"/>
  <c r="P79" i="3" s="1"/>
  <c r="O94" i="3"/>
  <c r="AR12" i="6"/>
  <c r="AQ13" i="6"/>
  <c r="O21" i="6"/>
  <c r="O22" i="6" s="1"/>
  <c r="O21" i="5"/>
  <c r="O23" i="5" s="1"/>
  <c r="P22" i="5" s="1"/>
  <c r="O24" i="5"/>
  <c r="O25" i="5" l="1"/>
  <c r="O93" i="3"/>
  <c r="AS12" i="6"/>
  <c r="AR13" i="6"/>
  <c r="P80" i="3"/>
  <c r="O24" i="6"/>
  <c r="AT12" i="6" l="1"/>
  <c r="AS13" i="6"/>
  <c r="P81" i="3"/>
  <c r="P83" i="3" s="1"/>
  <c r="P82" i="3"/>
  <c r="Q82" i="3" s="1"/>
  <c r="R82" i="3" s="1"/>
  <c r="S82" i="3" s="1"/>
  <c r="T82" i="3" s="1"/>
  <c r="U82" i="3" s="1"/>
  <c r="V82" i="3" s="1"/>
  <c r="W82" i="3" s="1"/>
  <c r="X82" i="3" s="1"/>
  <c r="Y82" i="3" s="1"/>
  <c r="Z82" i="3" s="1"/>
  <c r="AA82" i="3" s="1"/>
  <c r="P9" i="5" l="1"/>
  <c r="P13" i="5" s="1"/>
  <c r="P89" i="3"/>
  <c r="P20" i="6"/>
  <c r="AU12" i="6"/>
  <c r="AT13" i="6"/>
  <c r="Q78" i="3" l="1"/>
  <c r="C48" i="4"/>
  <c r="P9" i="6"/>
  <c r="P91" i="3"/>
  <c r="P94" i="3"/>
  <c r="AV12" i="6"/>
  <c r="AU13" i="6"/>
  <c r="BO20" i="6"/>
  <c r="P21" i="6"/>
  <c r="P24" i="5"/>
  <c r="P21" i="5"/>
  <c r="P23" i="5" s="1"/>
  <c r="Q22" i="5" l="1"/>
  <c r="BN23" i="5"/>
  <c r="BO22" i="5"/>
  <c r="BO21" i="6"/>
  <c r="P22" i="6"/>
  <c r="BO22" i="6" s="1"/>
  <c r="AW12" i="6"/>
  <c r="AV13" i="6"/>
  <c r="P25" i="5"/>
  <c r="BN25" i="5" s="1"/>
  <c r="P93" i="3"/>
  <c r="P14" i="6"/>
  <c r="BO9" i="6"/>
  <c r="Q79" i="3"/>
  <c r="Q83" i="3" l="1"/>
  <c r="Q80" i="3"/>
  <c r="BO14" i="6"/>
  <c r="P24" i="6"/>
  <c r="BO24" i="6" s="1"/>
  <c r="AX12" i="6"/>
  <c r="AW13" i="6"/>
  <c r="AY12" i="6" l="1"/>
  <c r="AX13" i="6"/>
  <c r="Q9" i="5"/>
  <c r="Q89" i="3"/>
  <c r="Q20" i="6"/>
  <c r="R78" i="3" l="1"/>
  <c r="Q9" i="6"/>
  <c r="Q14" i="6" s="1"/>
  <c r="Q91" i="3"/>
  <c r="Q94" i="3"/>
  <c r="Q13" i="5"/>
  <c r="Q21" i="6"/>
  <c r="Q22" i="6" s="1"/>
  <c r="AZ12" i="6"/>
  <c r="AY13" i="6"/>
  <c r="BA12" i="6" l="1"/>
  <c r="BR12" i="6"/>
  <c r="AZ13" i="6"/>
  <c r="BR13" i="6" s="1"/>
  <c r="Q24" i="6"/>
  <c r="Q24" i="5"/>
  <c r="Q21" i="5"/>
  <c r="Q25" i="5"/>
  <c r="Q93" i="3"/>
  <c r="R79" i="3"/>
  <c r="Q23" i="5" l="1"/>
  <c r="R22" i="5" s="1"/>
  <c r="R83" i="3"/>
  <c r="R80" i="3"/>
  <c r="BB12" i="6"/>
  <c r="BA13" i="6"/>
  <c r="BC12" i="6" l="1"/>
  <c r="BB13" i="6"/>
  <c r="R9" i="5"/>
  <c r="R89" i="3"/>
  <c r="R20" i="6"/>
  <c r="S78" i="3" l="1"/>
  <c r="R9" i="6"/>
  <c r="R14" i="6" s="1"/>
  <c r="R91" i="3"/>
  <c r="R94" i="3"/>
  <c r="R13" i="5"/>
  <c r="R21" i="6"/>
  <c r="R22" i="6" s="1"/>
  <c r="BD12" i="6"/>
  <c r="BC13" i="6"/>
  <c r="BE12" i="6" l="1"/>
  <c r="BD13" i="6"/>
  <c r="R24" i="6"/>
  <c r="R21" i="5"/>
  <c r="R24" i="5"/>
  <c r="R25" i="5"/>
  <c r="R93" i="3"/>
  <c r="S79" i="3"/>
  <c r="S83" i="3" l="1"/>
  <c r="S80" i="3"/>
  <c r="R23" i="5"/>
  <c r="S22" i="5" s="1"/>
  <c r="BF12" i="6"/>
  <c r="BE13" i="6"/>
  <c r="BG12" i="6" l="1"/>
  <c r="BF13" i="6"/>
  <c r="S9" i="5"/>
  <c r="S89" i="3"/>
  <c r="S20" i="6"/>
  <c r="S21" i="6" l="1"/>
  <c r="S22" i="6" s="1"/>
  <c r="T78" i="3"/>
  <c r="S9" i="6"/>
  <c r="S14" i="6" s="1"/>
  <c r="S24" i="6" s="1"/>
  <c r="S91" i="3"/>
  <c r="S94" i="3"/>
  <c r="S13" i="5"/>
  <c r="BH12" i="6"/>
  <c r="BG13" i="6"/>
  <c r="BI12" i="6" l="1"/>
  <c r="BH13" i="6"/>
  <c r="S21" i="5"/>
  <c r="S24" i="5"/>
  <c r="S93" i="3"/>
  <c r="S25" i="5"/>
  <c r="T79" i="3"/>
  <c r="T83" i="3" l="1"/>
  <c r="T80" i="3"/>
  <c r="S23" i="5"/>
  <c r="T22" i="5" s="1"/>
  <c r="BJ12" i="6"/>
  <c r="BI13" i="6"/>
  <c r="BK12" i="6" l="1"/>
  <c r="BJ13" i="6"/>
  <c r="T9" i="5"/>
  <c r="T20" i="6"/>
  <c r="T89" i="3"/>
  <c r="T9" i="6" l="1"/>
  <c r="T14" i="6" s="1"/>
  <c r="T91" i="3"/>
  <c r="U78" i="3"/>
  <c r="U79" i="3" s="1"/>
  <c r="T94" i="3"/>
  <c r="T21" i="6"/>
  <c r="T22" i="6" s="1"/>
  <c r="T13" i="5"/>
  <c r="BL12" i="6"/>
  <c r="BK13" i="6"/>
  <c r="BS12" i="6" l="1"/>
  <c r="BL13" i="6"/>
  <c r="BS13" i="6" s="1"/>
  <c r="T21" i="5"/>
  <c r="T24" i="5"/>
  <c r="U83" i="3"/>
  <c r="U80" i="3"/>
  <c r="T93" i="3"/>
  <c r="T25" i="5"/>
  <c r="T24" i="6"/>
  <c r="U9" i="5" l="1"/>
  <c r="U13" i="5" s="1"/>
  <c r="U89" i="3"/>
  <c r="U20" i="6"/>
  <c r="T23" i="5"/>
  <c r="U22" i="5" s="1"/>
  <c r="U21" i="6" l="1"/>
  <c r="U22" i="6" s="1"/>
  <c r="U9" i="6"/>
  <c r="U14" i="6" s="1"/>
  <c r="U24" i="6" s="1"/>
  <c r="U91" i="3"/>
  <c r="V78" i="3"/>
  <c r="V79" i="3" s="1"/>
  <c r="U94" i="3"/>
  <c r="U21" i="5"/>
  <c r="U23" i="5" s="1"/>
  <c r="V22" i="5" s="1"/>
  <c r="U24" i="5"/>
  <c r="V83" i="3" l="1"/>
  <c r="V80" i="3"/>
  <c r="U93" i="3"/>
  <c r="U25" i="5"/>
  <c r="V9" i="5" l="1"/>
  <c r="V13" i="5" s="1"/>
  <c r="V20" i="6"/>
  <c r="V89" i="3"/>
  <c r="V91" i="3" l="1"/>
  <c r="V9" i="6"/>
  <c r="V14" i="6" s="1"/>
  <c r="W78" i="3"/>
  <c r="W79" i="3" s="1"/>
  <c r="V94" i="3"/>
  <c r="V21" i="6"/>
  <c r="V22" i="6" s="1"/>
  <c r="V24" i="5"/>
  <c r="V21" i="5"/>
  <c r="V23" i="5" s="1"/>
  <c r="W22" i="5" s="1"/>
  <c r="V24" i="6" l="1"/>
  <c r="W83" i="3"/>
  <c r="W80" i="3"/>
  <c r="V93" i="3"/>
  <c r="V25" i="5"/>
  <c r="W9" i="5" l="1"/>
  <c r="W13" i="5" s="1"/>
  <c r="W89" i="3"/>
  <c r="W20" i="6"/>
  <c r="W9" i="6" l="1"/>
  <c r="W14" i="6" s="1"/>
  <c r="W91" i="3"/>
  <c r="X78" i="3"/>
  <c r="X79" i="3" s="1"/>
  <c r="W94" i="3"/>
  <c r="W21" i="6"/>
  <c r="W22" i="6" s="1"/>
  <c r="W24" i="5"/>
  <c r="W21" i="5"/>
  <c r="W23" i="5" s="1"/>
  <c r="X22" i="5" s="1"/>
  <c r="W25" i="5" l="1"/>
  <c r="W93" i="3"/>
  <c r="X83" i="3"/>
  <c r="X80" i="3"/>
  <c r="W24" i="6"/>
  <c r="X9" i="5" l="1"/>
  <c r="X13" i="5" s="1"/>
  <c r="X89" i="3"/>
  <c r="X20" i="6"/>
  <c r="X21" i="6" l="1"/>
  <c r="X22" i="6" s="1"/>
  <c r="X9" i="6"/>
  <c r="X14" i="6" s="1"/>
  <c r="X24" i="6" s="1"/>
  <c r="X91" i="3"/>
  <c r="Y78" i="3"/>
  <c r="Y79" i="3" s="1"/>
  <c r="X94" i="3"/>
  <c r="D37" i="5" s="1"/>
  <c r="X24" i="5"/>
  <c r="X21" i="5"/>
  <c r="X23" i="5" s="1"/>
  <c r="Y22" i="5" s="1"/>
  <c r="C39" i="9" l="1"/>
  <c r="E39" i="9" s="1"/>
  <c r="D38" i="5"/>
  <c r="B36" i="1"/>
  <c r="X25" i="5"/>
  <c r="X93" i="3"/>
  <c r="Y83" i="3"/>
  <c r="Y80" i="3"/>
  <c r="Y9" i="5" l="1"/>
  <c r="Y13" i="5" s="1"/>
  <c r="Y20" i="6"/>
  <c r="Y89" i="3"/>
  <c r="Y9" i="6" l="1"/>
  <c r="Y14" i="6" s="1"/>
  <c r="Y91" i="3"/>
  <c r="Z78" i="3"/>
  <c r="Z79" i="3" s="1"/>
  <c r="Y95" i="3"/>
  <c r="Y21" i="6"/>
  <c r="Y22" i="6" s="1"/>
  <c r="Y24" i="5"/>
  <c r="Y21" i="5"/>
  <c r="Y23" i="5" s="1"/>
  <c r="Z22" i="5" s="1"/>
  <c r="Y25" i="5" l="1"/>
  <c r="Y93" i="3"/>
  <c r="Z83" i="3"/>
  <c r="Z80" i="3"/>
  <c r="Y24" i="6"/>
  <c r="Z9" i="5" l="1"/>
  <c r="Z13" i="5" s="1"/>
  <c r="Z89" i="3"/>
  <c r="Z20" i="6"/>
  <c r="Z21" i="6" l="1"/>
  <c r="Z22" i="6" s="1"/>
  <c r="Z9" i="6"/>
  <c r="Z14" i="6" s="1"/>
  <c r="Z24" i="6" s="1"/>
  <c r="Z91" i="3"/>
  <c r="AA78" i="3"/>
  <c r="AA79" i="3" s="1"/>
  <c r="Z95" i="3"/>
  <c r="Z24" i="5"/>
  <c r="Z21" i="5"/>
  <c r="Z23" i="5" s="1"/>
  <c r="AA22" i="5" s="1"/>
  <c r="AA83" i="3" l="1"/>
  <c r="AA80" i="3"/>
  <c r="Z25" i="5"/>
  <c r="Z93" i="3"/>
  <c r="AA9" i="5" l="1"/>
  <c r="AA13" i="5" s="1"/>
  <c r="AA20" i="6"/>
  <c r="AA89" i="3"/>
  <c r="AA9" i="6" l="1"/>
  <c r="AA14" i="6" s="1"/>
  <c r="AA91" i="3"/>
  <c r="AB78" i="3"/>
  <c r="AB79" i="3" s="1"/>
  <c r="AA95" i="3"/>
  <c r="AA21" i="6"/>
  <c r="AA22" i="6" s="1"/>
  <c r="AA24" i="5"/>
  <c r="AA21" i="5"/>
  <c r="AA23" i="5" s="1"/>
  <c r="AB22" i="5" s="1"/>
  <c r="AB80" i="3" l="1"/>
  <c r="AA25" i="5"/>
  <c r="AA93" i="3"/>
  <c r="AA24" i="6"/>
  <c r="AB81" i="3" l="1"/>
  <c r="AB82" i="3"/>
  <c r="AC82" i="3" s="1"/>
  <c r="AD82" i="3" s="1"/>
  <c r="AE82" i="3" s="1"/>
  <c r="AF82" i="3" s="1"/>
  <c r="AG82" i="3" s="1"/>
  <c r="AH82" i="3" s="1"/>
  <c r="AI82" i="3" s="1"/>
  <c r="AJ82" i="3" s="1"/>
  <c r="AK82" i="3" s="1"/>
  <c r="AL82" i="3" s="1"/>
  <c r="AM82" i="3" s="1"/>
  <c r="D44" i="4" l="1"/>
  <c r="AB83" i="3"/>
  <c r="AB9" i="5" l="1"/>
  <c r="AB13" i="5" s="1"/>
  <c r="AB89" i="3"/>
  <c r="AB20" i="6"/>
  <c r="AB9" i="6" l="1"/>
  <c r="AB91" i="3"/>
  <c r="AC78" i="3"/>
  <c r="D48" i="4"/>
  <c r="AB95" i="3"/>
  <c r="BP20" i="6"/>
  <c r="AB21" i="6"/>
  <c r="AB24" i="5"/>
  <c r="AB21" i="5"/>
  <c r="AB23" i="5" s="1"/>
  <c r="AC22" i="5" l="1"/>
  <c r="BP22" i="5"/>
  <c r="BO23" i="5"/>
  <c r="BP21" i="6"/>
  <c r="AB22" i="6"/>
  <c r="BP22" i="6" s="1"/>
  <c r="AC79" i="3"/>
  <c r="AB25" i="5"/>
  <c r="BO25" i="5" s="1"/>
  <c r="AB93" i="3"/>
  <c r="AB14" i="6"/>
  <c r="BP9" i="6"/>
  <c r="AB24" i="6" l="1"/>
  <c r="BP24" i="6" s="1"/>
  <c r="BP14" i="6"/>
  <c r="AC83" i="3"/>
  <c r="AC80" i="3"/>
  <c r="AC9" i="5" l="1"/>
  <c r="AC89" i="3"/>
  <c r="AC20" i="6"/>
  <c r="AC9" i="6" l="1"/>
  <c r="AC14" i="6" s="1"/>
  <c r="AC91" i="3"/>
  <c r="AD78" i="3"/>
  <c r="AC95" i="3"/>
  <c r="AC21" i="6"/>
  <c r="AC22" i="6" s="1"/>
  <c r="AC13" i="5"/>
  <c r="AC25" i="5" l="1"/>
  <c r="AC93" i="3"/>
  <c r="AC24" i="5"/>
  <c r="AC21" i="5"/>
  <c r="AD79" i="3"/>
  <c r="AC24" i="6"/>
  <c r="AC23" i="5" l="1"/>
  <c r="AD22" i="5" s="1"/>
  <c r="AD83" i="3"/>
  <c r="AD80" i="3"/>
  <c r="AD9" i="5" l="1"/>
  <c r="AD89" i="3"/>
  <c r="AD20" i="6"/>
  <c r="AD21" i="6" l="1"/>
  <c r="AD22" i="6" s="1"/>
  <c r="AD91" i="3"/>
  <c r="AD9" i="6"/>
  <c r="AD14" i="6" s="1"/>
  <c r="AD24" i="6" s="1"/>
  <c r="AE78" i="3"/>
  <c r="AD95" i="3"/>
  <c r="AD13" i="5"/>
  <c r="AD24" i="5" l="1"/>
  <c r="AD21" i="5"/>
  <c r="AE79" i="3"/>
  <c r="AD25" i="5"/>
  <c r="AD93" i="3"/>
  <c r="AD23" i="5" l="1"/>
  <c r="AE22" i="5" s="1"/>
  <c r="AE83" i="3"/>
  <c r="AE80" i="3"/>
  <c r="AE9" i="5" l="1"/>
  <c r="AE20" i="6"/>
  <c r="AE89" i="3"/>
  <c r="AE91" i="3" l="1"/>
  <c r="AE9" i="6"/>
  <c r="AE14" i="6" s="1"/>
  <c r="AF78" i="3"/>
  <c r="AE95" i="3"/>
  <c r="AE21" i="6"/>
  <c r="AE22" i="6" s="1"/>
  <c r="AE13" i="5"/>
  <c r="AF79" i="3" l="1"/>
  <c r="AE21" i="5"/>
  <c r="AE24" i="5"/>
  <c r="AE24" i="6"/>
  <c r="AE25" i="5"/>
  <c r="AE93" i="3"/>
  <c r="AE23" i="5" l="1"/>
  <c r="AF22" i="5" s="1"/>
  <c r="AF83" i="3"/>
  <c r="AF80" i="3"/>
  <c r="AF9" i="5" l="1"/>
  <c r="AF89" i="3"/>
  <c r="AF20" i="6"/>
  <c r="AF21" i="6" l="1"/>
  <c r="AF22" i="6" s="1"/>
  <c r="AF91" i="3"/>
  <c r="AG78" i="3"/>
  <c r="AG79" i="3" s="1"/>
  <c r="AF9" i="6"/>
  <c r="AF14" i="6" s="1"/>
  <c r="AF24" i="6" s="1"/>
  <c r="AF95" i="3"/>
  <c r="AF13" i="5"/>
  <c r="AG83" i="3" l="1"/>
  <c r="AG80" i="3"/>
  <c r="AF24" i="5"/>
  <c r="AF21" i="5"/>
  <c r="AF25" i="5"/>
  <c r="AF93" i="3"/>
  <c r="AF23" i="5" l="1"/>
  <c r="AG22" i="5" s="1"/>
  <c r="AG9" i="5"/>
  <c r="AG13" i="5" s="1"/>
  <c r="AG20" i="6"/>
  <c r="AG89" i="3"/>
  <c r="AG21" i="6" l="1"/>
  <c r="AG22" i="6" s="1"/>
  <c r="AG24" i="5"/>
  <c r="AG21" i="5"/>
  <c r="AG23" i="5"/>
  <c r="AH22" i="5" s="1"/>
  <c r="AG9" i="6"/>
  <c r="AG14" i="6" s="1"/>
  <c r="AG24" i="6" s="1"/>
  <c r="AG91" i="3"/>
  <c r="AH78" i="3"/>
  <c r="AH79" i="3" s="1"/>
  <c r="AG95" i="3"/>
  <c r="AH83" i="3" l="1"/>
  <c r="AH80" i="3"/>
  <c r="AG25" i="5"/>
  <c r="AG93" i="3"/>
  <c r="AH9" i="5" l="1"/>
  <c r="AH13" i="5" s="1"/>
  <c r="AH20" i="6"/>
  <c r="AH89" i="3"/>
  <c r="AH9" i="6" l="1"/>
  <c r="AH14" i="6" s="1"/>
  <c r="AI78" i="3"/>
  <c r="AI79" i="3" s="1"/>
  <c r="AH91" i="3"/>
  <c r="AH95" i="3"/>
  <c r="AH21" i="6"/>
  <c r="AH22" i="6" s="1"/>
  <c r="AH21" i="5"/>
  <c r="AH23" i="5" s="1"/>
  <c r="AI22" i="5" s="1"/>
  <c r="AH24" i="5"/>
  <c r="AI83" i="3" l="1"/>
  <c r="AI80" i="3"/>
  <c r="AH25" i="5"/>
  <c r="AH93" i="3"/>
  <c r="AH24" i="6"/>
  <c r="AI9" i="5" l="1"/>
  <c r="AI13" i="5" s="1"/>
  <c r="AI89" i="3"/>
  <c r="AI20" i="6"/>
  <c r="AI9" i="6" l="1"/>
  <c r="AI14" i="6" s="1"/>
  <c r="AJ78" i="3"/>
  <c r="AJ79" i="3" s="1"/>
  <c r="AI91" i="3"/>
  <c r="AI95" i="3"/>
  <c r="AI21" i="6"/>
  <c r="AI22" i="6" s="1"/>
  <c r="AI21" i="5"/>
  <c r="AI23" i="5" s="1"/>
  <c r="AJ22" i="5" s="1"/>
  <c r="AI24" i="5"/>
  <c r="AJ83" i="3" l="1"/>
  <c r="AJ80" i="3"/>
  <c r="AI25" i="5"/>
  <c r="AI93" i="3"/>
  <c r="AI24" i="6"/>
  <c r="AJ9" i="5" l="1"/>
  <c r="AJ13" i="5" s="1"/>
  <c r="AJ89" i="3"/>
  <c r="AJ20" i="6"/>
  <c r="AJ21" i="6" l="1"/>
  <c r="AJ22" i="6" s="1"/>
  <c r="AJ9" i="6"/>
  <c r="AJ14" i="6" s="1"/>
  <c r="AJ24" i="6" s="1"/>
  <c r="AJ91" i="3"/>
  <c r="AK78" i="3"/>
  <c r="AK79" i="3" s="1"/>
  <c r="AJ95" i="3"/>
  <c r="AJ21" i="5"/>
  <c r="AJ23" i="5" s="1"/>
  <c r="AK22" i="5" s="1"/>
  <c r="AJ24" i="5"/>
  <c r="AK83" i="3" l="1"/>
  <c r="AK80" i="3"/>
  <c r="AJ93" i="3"/>
  <c r="AJ25" i="5"/>
  <c r="AK9" i="5" l="1"/>
  <c r="AK13" i="5" s="1"/>
  <c r="AK20" i="6"/>
  <c r="AK89" i="3"/>
  <c r="AK21" i="6" l="1"/>
  <c r="AK22" i="6" s="1"/>
  <c r="AK9" i="6"/>
  <c r="AK14" i="6" s="1"/>
  <c r="AK24" i="6" s="1"/>
  <c r="AK91" i="3"/>
  <c r="AL78" i="3"/>
  <c r="AL79" i="3" s="1"/>
  <c r="AK95" i="3"/>
  <c r="AK21" i="5"/>
  <c r="AK23" i="5" s="1"/>
  <c r="AL22" i="5" s="1"/>
  <c r="AK24" i="5"/>
  <c r="AL83" i="3" l="1"/>
  <c r="AL80" i="3"/>
  <c r="AK25" i="5"/>
  <c r="AK93" i="3"/>
  <c r="AL9" i="5" l="1"/>
  <c r="AL13" i="5" s="1"/>
  <c r="AL20" i="6"/>
  <c r="AL89" i="3"/>
  <c r="AL21" i="6" l="1"/>
  <c r="AL22" i="6" s="1"/>
  <c r="AL9" i="6"/>
  <c r="AL14" i="6" s="1"/>
  <c r="AL24" i="6" s="1"/>
  <c r="AM78" i="3"/>
  <c r="AM79" i="3" s="1"/>
  <c r="AL91" i="3"/>
  <c r="AL95" i="3"/>
  <c r="AL24" i="5"/>
  <c r="AL21" i="5"/>
  <c r="AL23" i="5" s="1"/>
  <c r="AM22" i="5" s="1"/>
  <c r="AL93" i="3" l="1"/>
  <c r="AL25" i="5"/>
  <c r="AM83" i="3"/>
  <c r="AM80" i="3"/>
  <c r="AM9" i="5" l="1"/>
  <c r="AM13" i="5" s="1"/>
  <c r="AM20" i="6"/>
  <c r="AM89" i="3"/>
  <c r="AM9" i="6" l="1"/>
  <c r="AM14" i="6" s="1"/>
  <c r="AN78" i="3"/>
  <c r="AN79" i="3" s="1"/>
  <c r="AM91" i="3"/>
  <c r="AM95" i="3"/>
  <c r="AM21" i="6"/>
  <c r="AM22" i="6" s="1"/>
  <c r="AM24" i="5"/>
  <c r="AM21" i="5"/>
  <c r="AM23" i="5" s="1"/>
  <c r="AN22" i="5" s="1"/>
  <c r="AM25" i="5" l="1"/>
  <c r="AM93" i="3"/>
  <c r="AN80" i="3"/>
  <c r="AM24" i="6"/>
  <c r="AN81" i="3" l="1"/>
  <c r="AN82" i="3"/>
  <c r="AO82" i="3" s="1"/>
  <c r="AP82" i="3" s="1"/>
  <c r="AQ82" i="3" s="1"/>
  <c r="AR82" i="3" s="1"/>
  <c r="AS82" i="3" s="1"/>
  <c r="AT82" i="3" s="1"/>
  <c r="AU82" i="3" s="1"/>
  <c r="AV82" i="3" s="1"/>
  <c r="AW82" i="3" s="1"/>
  <c r="AX82" i="3" s="1"/>
  <c r="AY82" i="3" s="1"/>
  <c r="E44" i="4" l="1"/>
  <c r="AN83" i="3"/>
  <c r="AN9" i="5" l="1"/>
  <c r="AN13" i="5" s="1"/>
  <c r="AN89" i="3"/>
  <c r="AN20" i="6"/>
  <c r="BQ20" i="6" l="1"/>
  <c r="AN21" i="6"/>
  <c r="AN9" i="6"/>
  <c r="E48" i="4"/>
  <c r="AO78" i="3"/>
  <c r="AN91" i="3"/>
  <c r="AN95" i="3"/>
  <c r="AN24" i="5"/>
  <c r="AN21" i="5"/>
  <c r="AN23" i="5" s="1"/>
  <c r="AO79" i="3" l="1"/>
  <c r="AO22" i="5"/>
  <c r="BQ22" i="5"/>
  <c r="BP23" i="5"/>
  <c r="AN25" i="5"/>
  <c r="BP25" i="5" s="1"/>
  <c r="AN93" i="3"/>
  <c r="BQ21" i="6"/>
  <c r="AN22" i="6"/>
  <c r="BQ22" i="6" s="1"/>
  <c r="AN14" i="6"/>
  <c r="BQ9" i="6"/>
  <c r="BQ14" i="6" l="1"/>
  <c r="AN24" i="6"/>
  <c r="BQ24" i="6" s="1"/>
  <c r="AO83" i="3"/>
  <c r="AO80" i="3"/>
  <c r="AO9" i="5" l="1"/>
  <c r="AO20" i="6"/>
  <c r="AO89" i="3"/>
  <c r="AO9" i="6" l="1"/>
  <c r="AO14" i="6" s="1"/>
  <c r="AO91" i="3"/>
  <c r="AP78" i="3"/>
  <c r="AO95" i="3"/>
  <c r="AO21" i="6"/>
  <c r="AO22" i="6" s="1"/>
  <c r="AO13" i="5"/>
  <c r="AO24" i="5" l="1"/>
  <c r="AO21" i="5"/>
  <c r="AP79" i="3"/>
  <c r="AO25" i="5"/>
  <c r="AO93" i="3"/>
  <c r="AO24" i="6"/>
  <c r="AO23" i="5" l="1"/>
  <c r="AP22" i="5" s="1"/>
  <c r="AP83" i="3"/>
  <c r="AP80" i="3"/>
  <c r="AP9" i="5" l="1"/>
  <c r="AP89" i="3"/>
  <c r="AP20" i="6"/>
  <c r="AP21" i="6" l="1"/>
  <c r="AP22" i="6" s="1"/>
  <c r="AP9" i="6"/>
  <c r="AP14" i="6" s="1"/>
  <c r="AP91" i="3"/>
  <c r="AQ78" i="3"/>
  <c r="AP95" i="3"/>
  <c r="AP13" i="5"/>
  <c r="AP24" i="5" l="1"/>
  <c r="AP21" i="5"/>
  <c r="AP25" i="5"/>
  <c r="AP93" i="3"/>
  <c r="AQ79" i="3"/>
  <c r="AP24" i="6"/>
  <c r="AP23" i="5" l="1"/>
  <c r="AQ22" i="5" s="1"/>
  <c r="AQ83" i="3"/>
  <c r="AQ80" i="3"/>
  <c r="AQ9" i="5" l="1"/>
  <c r="AQ20" i="6"/>
  <c r="AQ89" i="3"/>
  <c r="AQ21" i="6" l="1"/>
  <c r="AQ22" i="6" s="1"/>
  <c r="AQ9" i="6"/>
  <c r="AQ14" i="6" s="1"/>
  <c r="AQ24" i="6" s="1"/>
  <c r="AQ91" i="3"/>
  <c r="AR78" i="3"/>
  <c r="AQ95" i="3"/>
  <c r="AQ13" i="5"/>
  <c r="AQ24" i="5" l="1"/>
  <c r="AQ21" i="5"/>
  <c r="AQ25" i="5"/>
  <c r="AQ93" i="3"/>
  <c r="AR79" i="3"/>
  <c r="AR83" i="3" l="1"/>
  <c r="AR80" i="3"/>
  <c r="AQ23" i="5"/>
  <c r="AR22" i="5" s="1"/>
  <c r="AR9" i="5" l="1"/>
  <c r="AR20" i="6"/>
  <c r="AR89" i="3"/>
  <c r="AR9" i="6" l="1"/>
  <c r="AR14" i="6" s="1"/>
  <c r="AR91" i="3"/>
  <c r="AS78" i="3"/>
  <c r="AS79" i="3" s="1"/>
  <c r="AR95" i="3"/>
  <c r="AR21" i="6"/>
  <c r="AR22" i="6" s="1"/>
  <c r="AR13" i="5"/>
  <c r="AR24" i="5" l="1"/>
  <c r="AR21" i="5"/>
  <c r="AR93" i="3"/>
  <c r="AR25" i="5"/>
  <c r="AS83" i="3"/>
  <c r="AS80" i="3"/>
  <c r="AR24" i="6"/>
  <c r="AS9" i="5" l="1"/>
  <c r="AS13" i="5" s="1"/>
  <c r="AS20" i="6"/>
  <c r="AS89" i="3"/>
  <c r="AR23" i="5"/>
  <c r="AS22" i="5" s="1"/>
  <c r="AS21" i="6" l="1"/>
  <c r="AS22" i="6" s="1"/>
  <c r="AS9" i="6"/>
  <c r="AS14" i="6" s="1"/>
  <c r="AS24" i="6" s="1"/>
  <c r="AS91" i="3"/>
  <c r="AT78" i="3"/>
  <c r="AT79" i="3" s="1"/>
  <c r="AS95" i="3"/>
  <c r="AS24" i="5"/>
  <c r="AS21" i="5"/>
  <c r="AS23" i="5" s="1"/>
  <c r="AT22" i="5" s="1"/>
  <c r="AT83" i="3" l="1"/>
  <c r="AT80" i="3"/>
  <c r="AS25" i="5"/>
  <c r="AS93" i="3"/>
  <c r="AT9" i="5" l="1"/>
  <c r="AT13" i="5" s="1"/>
  <c r="AT20" i="6"/>
  <c r="AT89" i="3"/>
  <c r="AT21" i="6" l="1"/>
  <c r="AT22" i="6" s="1"/>
  <c r="AT9" i="6"/>
  <c r="AT14" i="6" s="1"/>
  <c r="AT24" i="6" s="1"/>
  <c r="AT91" i="3"/>
  <c r="AU78" i="3"/>
  <c r="AU79" i="3" s="1"/>
  <c r="AT95" i="3"/>
  <c r="AT24" i="5"/>
  <c r="AT21" i="5"/>
  <c r="AT23" i="5" s="1"/>
  <c r="AU22" i="5" s="1"/>
  <c r="AU83" i="3" l="1"/>
  <c r="AU80" i="3"/>
  <c r="AT25" i="5"/>
  <c r="AT93" i="3"/>
  <c r="AU9" i="5" l="1"/>
  <c r="AU13" i="5" s="1"/>
  <c r="AU20" i="6"/>
  <c r="AU89" i="3"/>
  <c r="AU9" i="6" l="1"/>
  <c r="AU14" i="6" s="1"/>
  <c r="AU91" i="3"/>
  <c r="AV78" i="3"/>
  <c r="AV79" i="3" s="1"/>
  <c r="AU95" i="3"/>
  <c r="AU21" i="5"/>
  <c r="AU23" i="5" s="1"/>
  <c r="AV22" i="5" s="1"/>
  <c r="AU24" i="5"/>
  <c r="AU21" i="6"/>
  <c r="AU22" i="6" s="1"/>
  <c r="AU25" i="5" l="1"/>
  <c r="AU93" i="3"/>
  <c r="AV83" i="3"/>
  <c r="AV80" i="3"/>
  <c r="AU24" i="6"/>
  <c r="AV9" i="5" l="1"/>
  <c r="AV13" i="5" s="1"/>
  <c r="AV89" i="3"/>
  <c r="AV20" i="6"/>
  <c r="AV21" i="6" l="1"/>
  <c r="AV22" i="6" s="1"/>
  <c r="AV9" i="6"/>
  <c r="AV14" i="6" s="1"/>
  <c r="AV24" i="6" s="1"/>
  <c r="AV91" i="3"/>
  <c r="AW78" i="3"/>
  <c r="AW79" i="3" s="1"/>
  <c r="AV95" i="3"/>
  <c r="AV24" i="5"/>
  <c r="AV21" i="5"/>
  <c r="AV23" i="5" s="1"/>
  <c r="AW22" i="5" s="1"/>
  <c r="AV25" i="5" l="1"/>
  <c r="AV93" i="3"/>
  <c r="AW83" i="3"/>
  <c r="AW80" i="3"/>
  <c r="AW9" i="5" l="1"/>
  <c r="AW13" i="5" s="1"/>
  <c r="AW20" i="6"/>
  <c r="AW89" i="3"/>
  <c r="AW21" i="6" l="1"/>
  <c r="AW22" i="6" s="1"/>
  <c r="AW9" i="6"/>
  <c r="AW14" i="6" s="1"/>
  <c r="AW24" i="6" s="1"/>
  <c r="AW91" i="3"/>
  <c r="AX78" i="3"/>
  <c r="AX79" i="3" s="1"/>
  <c r="AW95" i="3"/>
  <c r="AW24" i="5"/>
  <c r="AW21" i="5"/>
  <c r="AW23" i="5" s="1"/>
  <c r="AX22" i="5" s="1"/>
  <c r="AW25" i="5" l="1"/>
  <c r="AW93" i="3"/>
  <c r="AX83" i="3"/>
  <c r="AX80" i="3"/>
  <c r="AX9" i="5" l="1"/>
  <c r="AX13" i="5" s="1"/>
  <c r="AX20" i="6"/>
  <c r="AX89" i="3"/>
  <c r="AX21" i="6" l="1"/>
  <c r="AX22" i="6" s="1"/>
  <c r="AX9" i="6"/>
  <c r="AX14" i="6" s="1"/>
  <c r="AX24" i="6" s="1"/>
  <c r="AX91" i="3"/>
  <c r="AY78" i="3"/>
  <c r="AY79" i="3" s="1"/>
  <c r="AX95" i="3"/>
  <c r="AX24" i="5"/>
  <c r="AX21" i="5"/>
  <c r="AX23" i="5" s="1"/>
  <c r="AY22" i="5" s="1"/>
  <c r="AX25" i="5" l="1"/>
  <c r="AX93" i="3"/>
  <c r="AY83" i="3"/>
  <c r="AY80" i="3"/>
  <c r="AY9" i="5" l="1"/>
  <c r="AY13" i="5" s="1"/>
  <c r="AY20" i="6"/>
  <c r="AY89" i="3"/>
  <c r="AY9" i="6" l="1"/>
  <c r="AY14" i="6" s="1"/>
  <c r="AY91" i="3"/>
  <c r="AZ78" i="3"/>
  <c r="AZ79" i="3" s="1"/>
  <c r="AY95" i="3"/>
  <c r="AY21" i="6"/>
  <c r="AY22" i="6" s="1"/>
  <c r="AY24" i="5"/>
  <c r="AY21" i="5"/>
  <c r="AY23" i="5" s="1"/>
  <c r="AZ22" i="5" s="1"/>
  <c r="AY25" i="5" l="1"/>
  <c r="AY93" i="3"/>
  <c r="AZ80" i="3"/>
  <c r="AY24" i="6"/>
  <c r="AZ81" i="3" l="1"/>
  <c r="AZ82" i="3"/>
  <c r="BA82" i="3" s="1"/>
  <c r="BB82" i="3" s="1"/>
  <c r="BC82" i="3" s="1"/>
  <c r="BD82" i="3" s="1"/>
  <c r="BE82" i="3" s="1"/>
  <c r="BF82" i="3" s="1"/>
  <c r="BG82" i="3" s="1"/>
  <c r="BH82" i="3" s="1"/>
  <c r="BI82" i="3" s="1"/>
  <c r="BJ82" i="3" s="1"/>
  <c r="BK82" i="3" s="1"/>
  <c r="F44" i="4" l="1"/>
  <c r="AZ83" i="3"/>
  <c r="AZ9" i="5" l="1"/>
  <c r="AZ13" i="5" s="1"/>
  <c r="AZ89" i="3"/>
  <c r="AZ20" i="6"/>
  <c r="AZ9" i="6" l="1"/>
  <c r="AZ91" i="3"/>
  <c r="BA78" i="3"/>
  <c r="F48" i="4"/>
  <c r="AZ95" i="3"/>
  <c r="BR20" i="6"/>
  <c r="AZ21" i="6"/>
  <c r="AZ24" i="5"/>
  <c r="AZ21" i="5"/>
  <c r="AZ23" i="5" s="1"/>
  <c r="BR21" i="6" l="1"/>
  <c r="AZ22" i="6"/>
  <c r="BR22" i="6" s="1"/>
  <c r="BA79" i="3"/>
  <c r="BA22" i="5"/>
  <c r="BR22" i="5"/>
  <c r="BQ23" i="5"/>
  <c r="AZ25" i="5"/>
  <c r="BQ25" i="5" s="1"/>
  <c r="AZ93" i="3"/>
  <c r="AZ14" i="6"/>
  <c r="BR9" i="6"/>
  <c r="BA83" i="3" l="1"/>
  <c r="BA80" i="3"/>
  <c r="BR14" i="6"/>
  <c r="AZ24" i="6"/>
  <c r="BR24" i="6" s="1"/>
  <c r="BA9" i="5" l="1"/>
  <c r="BA89" i="3"/>
  <c r="BA20" i="6"/>
  <c r="BA21" i="6" l="1"/>
  <c r="BA22" i="6" s="1"/>
  <c r="BA9" i="6"/>
  <c r="BA14" i="6" s="1"/>
  <c r="BA24" i="6" s="1"/>
  <c r="BA91" i="3"/>
  <c r="BB78" i="3"/>
  <c r="BA95" i="3"/>
  <c r="BA13" i="5"/>
  <c r="BA25" i="5" l="1"/>
  <c r="BA93" i="3"/>
  <c r="BA21" i="5"/>
  <c r="BA24" i="5"/>
  <c r="BB79" i="3"/>
  <c r="BB83" i="3" l="1"/>
  <c r="BB80" i="3"/>
  <c r="BA23" i="5"/>
  <c r="BB22" i="5" s="1"/>
  <c r="BB9" i="5" l="1"/>
  <c r="BB20" i="6"/>
  <c r="BB89" i="3"/>
  <c r="BB9" i="6" l="1"/>
  <c r="BB14" i="6" s="1"/>
  <c r="BB91" i="3"/>
  <c r="BC78" i="3"/>
  <c r="BB95" i="3"/>
  <c r="BB21" i="6"/>
  <c r="BB22" i="6" s="1"/>
  <c r="BB13" i="5"/>
  <c r="BB21" i="5" l="1"/>
  <c r="BB24" i="5"/>
  <c r="BB25" i="5"/>
  <c r="BB93" i="3"/>
  <c r="BC79" i="3"/>
  <c r="BB24" i="6"/>
  <c r="BC83" i="3" l="1"/>
  <c r="BC80" i="3"/>
  <c r="BB23" i="5"/>
  <c r="BC22" i="5" s="1"/>
  <c r="BC9" i="5" l="1"/>
  <c r="BC89" i="3"/>
  <c r="BC20" i="6"/>
  <c r="BC21" i="6" l="1"/>
  <c r="BC22" i="6" s="1"/>
  <c r="BC9" i="6"/>
  <c r="BC14" i="6" s="1"/>
  <c r="BC24" i="6" s="1"/>
  <c r="BC91" i="3"/>
  <c r="BD78" i="3"/>
  <c r="BC95" i="3"/>
  <c r="BC13" i="5"/>
  <c r="BC25" i="5" l="1"/>
  <c r="BC93" i="3"/>
  <c r="BC21" i="5"/>
  <c r="BC24" i="5"/>
  <c r="BD79" i="3"/>
  <c r="BD83" i="3" l="1"/>
  <c r="BD80" i="3"/>
  <c r="BC23" i="5"/>
  <c r="BD22" i="5" s="1"/>
  <c r="BD9" i="5" l="1"/>
  <c r="BD20" i="6"/>
  <c r="BD89" i="3"/>
  <c r="BD9" i="6" l="1"/>
  <c r="BD14" i="6" s="1"/>
  <c r="BE78" i="3"/>
  <c r="BE79" i="3" s="1"/>
  <c r="BD91" i="3"/>
  <c r="BD95" i="3"/>
  <c r="BD21" i="6"/>
  <c r="BD22" i="6" s="1"/>
  <c r="BD13" i="5"/>
  <c r="BD25" i="5" l="1"/>
  <c r="BD93" i="3"/>
  <c r="BD21" i="5"/>
  <c r="BD24" i="5"/>
  <c r="BE83" i="3"/>
  <c r="BE80" i="3"/>
  <c r="BD24" i="6"/>
  <c r="BE9" i="5" l="1"/>
  <c r="BE13" i="5" s="1"/>
  <c r="BE89" i="3"/>
  <c r="BE20" i="6"/>
  <c r="BD23" i="5"/>
  <c r="BE22" i="5" s="1"/>
  <c r="BE21" i="6" l="1"/>
  <c r="BE22" i="6" s="1"/>
  <c r="BE9" i="6"/>
  <c r="BE14" i="6" s="1"/>
  <c r="BE24" i="6" s="1"/>
  <c r="BF78" i="3"/>
  <c r="BF79" i="3" s="1"/>
  <c r="BE91" i="3"/>
  <c r="BE95" i="3"/>
  <c r="BE24" i="5"/>
  <c r="BE21" i="5"/>
  <c r="BE23" i="5" s="1"/>
  <c r="BF22" i="5" s="1"/>
  <c r="BF83" i="3" l="1"/>
  <c r="BF80" i="3"/>
  <c r="BE25" i="5"/>
  <c r="BE93" i="3"/>
  <c r="BF9" i="5" l="1"/>
  <c r="BF13" i="5" s="1"/>
  <c r="BF20" i="6"/>
  <c r="BF89" i="3"/>
  <c r="BF21" i="6" l="1"/>
  <c r="BF22" i="6" s="1"/>
  <c r="BF9" i="6"/>
  <c r="BF14" i="6" s="1"/>
  <c r="BF24" i="6" s="1"/>
  <c r="BG78" i="3"/>
  <c r="BG79" i="3" s="1"/>
  <c r="BF91" i="3"/>
  <c r="BF95" i="3"/>
  <c r="BF24" i="5"/>
  <c r="BF21" i="5"/>
  <c r="BF23" i="5" s="1"/>
  <c r="BG22" i="5" s="1"/>
  <c r="BF25" i="5" l="1"/>
  <c r="BF93" i="3"/>
  <c r="BG83" i="3"/>
  <c r="BG80" i="3"/>
  <c r="BG9" i="5" l="1"/>
  <c r="BG13" i="5" s="1"/>
  <c r="BG20" i="6"/>
  <c r="BG89" i="3"/>
  <c r="BG21" i="6" l="1"/>
  <c r="BG22" i="6" s="1"/>
  <c r="BG9" i="6"/>
  <c r="BG14" i="6" s="1"/>
  <c r="BG24" i="6" s="1"/>
  <c r="BG91" i="3"/>
  <c r="BH78" i="3"/>
  <c r="BH79" i="3" s="1"/>
  <c r="BG95" i="3"/>
  <c r="BG21" i="5"/>
  <c r="BG23" i="5" s="1"/>
  <c r="BH22" i="5" s="1"/>
  <c r="BG24" i="5"/>
  <c r="BH83" i="3" l="1"/>
  <c r="BH80" i="3"/>
  <c r="BG25" i="5"/>
  <c r="BG93" i="3"/>
  <c r="BH9" i="5" l="1"/>
  <c r="BH13" i="5" s="1"/>
  <c r="BH20" i="6"/>
  <c r="BH89" i="3"/>
  <c r="BH21" i="6" l="1"/>
  <c r="BH22" i="6" s="1"/>
  <c r="BH9" i="6"/>
  <c r="BH14" i="6" s="1"/>
  <c r="BH24" i="6" s="1"/>
  <c r="BH91" i="3"/>
  <c r="BI78" i="3"/>
  <c r="BI79" i="3" s="1"/>
  <c r="BH95" i="3"/>
  <c r="BH24" i="5"/>
  <c r="BH21" i="5"/>
  <c r="BH23" i="5" s="1"/>
  <c r="BI22" i="5" s="1"/>
  <c r="BH93" i="3" l="1"/>
  <c r="BH25" i="5"/>
  <c r="BI83" i="3"/>
  <c r="BI80" i="3"/>
  <c r="BI9" i="5" l="1"/>
  <c r="BI13" i="5" s="1"/>
  <c r="BI20" i="6"/>
  <c r="BI89" i="3"/>
  <c r="BI9" i="6" l="1"/>
  <c r="BI14" i="6" s="1"/>
  <c r="BI91" i="3"/>
  <c r="BJ78" i="3"/>
  <c r="BJ79" i="3" s="1"/>
  <c r="BI95" i="3"/>
  <c r="BI21" i="6"/>
  <c r="BI22" i="6" s="1"/>
  <c r="BI24" i="5"/>
  <c r="BI21" i="5"/>
  <c r="BI23" i="5" s="1"/>
  <c r="BJ22" i="5" s="1"/>
  <c r="BJ83" i="3" l="1"/>
  <c r="BJ80" i="3"/>
  <c r="BI93" i="3"/>
  <c r="BI25" i="5"/>
  <c r="BI24" i="6"/>
  <c r="BJ9" i="5" l="1"/>
  <c r="BJ13" i="5" s="1"/>
  <c r="BJ20" i="6"/>
  <c r="BJ89" i="3"/>
  <c r="BJ9" i="6" l="1"/>
  <c r="BJ14" i="6" s="1"/>
  <c r="BJ91" i="3"/>
  <c r="BK78" i="3"/>
  <c r="BK79" i="3" s="1"/>
  <c r="BJ95" i="3"/>
  <c r="BJ21" i="6"/>
  <c r="BJ22" i="6" s="1"/>
  <c r="BJ24" i="5"/>
  <c r="BJ21" i="5"/>
  <c r="BJ23" i="5" s="1"/>
  <c r="BK22" i="5" s="1"/>
  <c r="BK83" i="3" l="1"/>
  <c r="BK80" i="3"/>
  <c r="BJ25" i="5"/>
  <c r="BJ93" i="3"/>
  <c r="BJ24" i="6"/>
  <c r="BK9" i="5" l="1"/>
  <c r="BK13" i="5" s="1"/>
  <c r="BK89" i="3"/>
  <c r="BK20" i="6"/>
  <c r="BK9" i="6" l="1"/>
  <c r="BK14" i="6" s="1"/>
  <c r="BL78" i="3"/>
  <c r="BK91" i="3"/>
  <c r="BK95" i="3"/>
  <c r="BK21" i="6"/>
  <c r="BK22" i="6" s="1"/>
  <c r="BK24" i="5"/>
  <c r="BK21" i="5"/>
  <c r="BK23" i="5" s="1"/>
  <c r="BL22" i="5" s="1"/>
  <c r="BK25" i="5" l="1"/>
  <c r="BK93" i="3"/>
  <c r="BL79" i="3"/>
  <c r="C42" i="4"/>
  <c r="D42" i="4"/>
  <c r="E42" i="4"/>
  <c r="F42" i="4"/>
  <c r="G42" i="4"/>
  <c r="BK24" i="6"/>
  <c r="C43" i="4" l="1"/>
  <c r="D43" i="4"/>
  <c r="E43" i="4"/>
  <c r="F43" i="4"/>
  <c r="G43" i="4"/>
  <c r="BL80" i="3"/>
  <c r="H42" i="4"/>
  <c r="BL81" i="3" l="1"/>
  <c r="BL82" i="3"/>
  <c r="H43" i="4"/>
  <c r="C44" i="4" l="1"/>
  <c r="G44" i="4"/>
  <c r="BL83" i="3"/>
  <c r="BL9" i="5" l="1"/>
  <c r="C45" i="4"/>
  <c r="D45" i="4"/>
  <c r="E45" i="4"/>
  <c r="F45" i="4"/>
  <c r="G45" i="4"/>
  <c r="BL89" i="3"/>
  <c r="BL20" i="6"/>
  <c r="H44" i="4"/>
  <c r="BS20" i="6" l="1"/>
  <c r="C13" i="9"/>
  <c r="E13" i="9" s="1"/>
  <c r="BL21" i="6"/>
  <c r="C29" i="9"/>
  <c r="E29" i="9" s="1"/>
  <c r="B31" i="1"/>
  <c r="BL9" i="6"/>
  <c r="D47" i="5"/>
  <c r="BL91" i="3"/>
  <c r="G48" i="4"/>
  <c r="BL95" i="3"/>
  <c r="C21" i="9"/>
  <c r="E21" i="9" s="1"/>
  <c r="H45" i="4"/>
  <c r="BL13" i="5"/>
  <c r="BN9" i="5"/>
  <c r="BO9" i="5"/>
  <c r="BP9" i="5"/>
  <c r="BQ9" i="5"/>
  <c r="BR9" i="5"/>
  <c r="BL25" i="5" l="1"/>
  <c r="BR25" i="5" s="1"/>
  <c r="BL93" i="3"/>
  <c r="D39" i="5" s="1"/>
  <c r="BL14" i="6"/>
  <c r="BS9" i="6"/>
  <c r="BS21" i="6"/>
  <c r="BL22" i="6"/>
  <c r="BS22" i="6" s="1"/>
  <c r="BL21" i="5"/>
  <c r="BL24" i="5"/>
  <c r="BN13" i="5"/>
  <c r="BO13" i="5"/>
  <c r="BP13" i="5"/>
  <c r="BQ13" i="5"/>
  <c r="BR13" i="5"/>
  <c r="C30" i="9"/>
  <c r="E30" i="9" s="1"/>
  <c r="B33" i="1"/>
  <c r="D41" i="5"/>
  <c r="D42" i="5" s="1"/>
  <c r="BN24" i="5" l="1"/>
  <c r="BO24" i="5"/>
  <c r="BP24" i="5"/>
  <c r="BQ24" i="5"/>
  <c r="BR24" i="5"/>
  <c r="BN21" i="5"/>
  <c r="BO21" i="5"/>
  <c r="BP21" i="5"/>
  <c r="BQ21" i="5"/>
  <c r="BR21" i="5"/>
  <c r="BL23" i="5"/>
  <c r="BL24" i="6"/>
  <c r="BS14" i="6"/>
  <c r="D40" i="5"/>
  <c r="C23" i="9" s="1"/>
  <c r="E23" i="9" s="1"/>
  <c r="B4" i="9" s="1"/>
  <c r="B42" i="1" s="1"/>
  <c r="C40" i="9"/>
  <c r="E40" i="9" s="1"/>
  <c r="B37" i="1"/>
  <c r="BS24" i="6" l="1"/>
  <c r="C7" i="9"/>
  <c r="E7" i="9" s="1"/>
  <c r="BR23" i="5"/>
  <c r="C8" i="9"/>
  <c r="E8" i="9" s="1"/>
  <c r="C9" i="9"/>
  <c r="E9" i="9" s="1"/>
  <c r="C18" i="9"/>
  <c r="E18" i="9" s="1"/>
  <c r="B3" i="9" l="1"/>
  <c r="B41" i="1" s="1"/>
</calcChain>
</file>

<file path=xl/sharedStrings.xml><?xml version="1.0" encoding="utf-8"?>
<sst xmlns="http://schemas.openxmlformats.org/spreadsheetml/2006/main" count="1350" uniqueCount="765">
  <si>
    <t>Hearthfold financial model</t>
  </si>
  <si>
    <t>Sample work, fictional company</t>
  </si>
  <si>
    <t>Sample work by Amer Habeeb · getinvestorread.com</t>
  </si>
  <si>
    <t>Built 21 Oct 2026. Monthly, 60 months (Jan 2027 to Dec 2031), USD, three statements that reconcile every month.</t>
  </si>
  <si>
    <t>About this file</t>
  </si>
  <si>
    <t>Hearthfold is a fictional company, built as sample work. It sells shift-filling and retention software to home care agencies: it fills last-minute shifts from an agency's own caregivers and flags the caregivers likely to quit.</t>
  </si>
  <si>
    <t>Every name, pilot result and customer figure here is invented. No real company, person, customer or deal is shown. Two sourced facts appear on the slides: US median caregiver turnover of 75% in 2024 (Activated Insights 2025 Home Care Benchmarking Report) and the Medicaid EVV requirement (21st Century Cures Act, Section 12006).</t>
  </si>
  <si>
    <t>This model is the source of every number in the matching sample deck.</t>
  </si>
  <si>
    <t>How to read it</t>
  </si>
  <si>
    <t>Blue figures on cream cells are inputs. Black figures are calculations. Green figures link from another tab.</t>
  </si>
  <si>
    <t>Change any input on Assumptions and every tab recalculates: the monthly engine, the three statements, unit economics and the checks. New agencies come from named drivers (sellers and their ramp, founder-led closes, inbound, a channel), never from a typed growth rate.</t>
  </si>
  <si>
    <t>Series A of $10M in Sep 2028 is a model assumption, not part of this raise. Set "Include the Series A" to 0 on Assumptions to see the seed-only runway.</t>
  </si>
  <si>
    <t>Sensitivity holds full re-runs of the model with two drivers changed at a time. Those grids are pasted values from the build script, so they do not move when an input changes.</t>
  </si>
  <si>
    <t>Tabs</t>
  </si>
  <si>
    <t>Assumptions</t>
  </si>
  <si>
    <t>Every driver, the hiring plan (105 roles) and the sourced facts.</t>
  </si>
  <si>
    <t>Monthly</t>
  </si>
  <si>
    <t>The 60-month engine: sellers and ramp, new agencies, customer book by region, pricing, revenue lines, costs, profit, working capital and cash.</t>
  </si>
  <si>
    <t>Annual P&amp;L</t>
  </si>
  <si>
    <t>Years 2027 to 2031, rolled up from Monthly with live formulas.</t>
  </si>
  <si>
    <t>Cash Flow</t>
  </si>
  <si>
    <t>Monthly indirect cash flow, full-year totals, and the live milestones: Series A gate, cash low point, runway, breakeven.</t>
  </si>
  <si>
    <t>Balance Sheet</t>
  </si>
  <si>
    <t>Monthly balance sheet with a check row that reads 0.00 in every month.</t>
  </si>
  <si>
    <t>Unit Economics</t>
  </si>
  <si>
    <t>ARPA, gross profit per agency, CAC, payback, LTV, retention, market size and the illustrative exit view.</t>
  </si>
  <si>
    <t>Sensitivity</t>
  </si>
  <si>
    <t>Series A gate timing against seller productivity and price, 2031 EBITDA against price and churn, 2031 ARR, named risk cases.</t>
  </si>
  <si>
    <t>Checks</t>
  </si>
  <si>
    <t>Integrity checks that must pass for any inputs, plus a base-case tie-out to the deck.</t>
  </si>
  <si>
    <t>Key outputs (live)</t>
  </si>
  <si>
    <t>Figure</t>
  </si>
  <si>
    <t>Value</t>
  </si>
  <si>
    <t>Where</t>
  </si>
  <si>
    <t>Seed round (this raise)</t>
  </si>
  <si>
    <t>Revenue 2027</t>
  </si>
  <si>
    <t>Revenue 2031</t>
  </si>
  <si>
    <t>Gross margin 2031</t>
  </si>
  <si>
    <t>EBITDA 2031</t>
  </si>
  <si>
    <t>Net income 2031</t>
  </si>
  <si>
    <t>ARR, Dec 2031</t>
  </si>
  <si>
    <t>Cash, Dec 2031</t>
  </si>
  <si>
    <t>Agencies, Dec 2031</t>
  </si>
  <si>
    <t>Series A gate met (month)</t>
  </si>
  <si>
    <t>Cash low point before the Series A</t>
  </si>
  <si>
    <t>Cash-out month with no Series A</t>
  </si>
  <si>
    <t>EBITDA positive every month from (month)</t>
  </si>
  <si>
    <t>CAC payback (months)</t>
  </si>
  <si>
    <t>LTV:CAC</t>
  </si>
  <si>
    <t>Integrity checks</t>
  </si>
  <si>
    <t>Plan tests</t>
  </si>
  <si>
    <t>Simplifications</t>
  </si>
  <si>
    <t>UK, Ireland and Netherlands prices are set at USD equivalents. FX is not modelled.</t>
  </si>
  <si>
    <t>Agencies can be fractional inside the model; the deck rounds them.</t>
  </si>
  <si>
    <t>Revenue is billed on the opening book, so a new agency bills from the month after it signs.</t>
  </si>
  <si>
    <t>ARR = (subscription + filled-shift fees) × 12. It excludes one-off Fast Start fees.</t>
  </si>
  <si>
    <t>Tax: 25% blended rate on positive annual profit, charged and paid each December, after a loss-pool offset capped at 80% of that year's profit.</t>
  </si>
  <si>
    <t>SOC 2 appears only as a plan (audit from Sep 2027, Type I report planned for Jun 2028). Nothing here is presented as earned.</t>
  </si>
  <si>
    <t>Illustrative only. Not a forecast, valuation or offer of securities.</t>
  </si>
  <si>
    <t>Hearthfold · Assumptions</t>
  </si>
  <si>
    <t>Every driver of the model. Blue figures on cream cells are inputs: change one and every tab recalculates.</t>
  </si>
  <si>
    <t>Hiring plan (105 roles). Blue = inputs. Founders and the opening team start in month 0.</t>
  </si>
  <si>
    <t>Driver</t>
  </si>
  <si>
    <t>Unit</t>
  </si>
  <si>
    <t>Name in formulas</t>
  </si>
  <si>
    <t>Note or source</t>
  </si>
  <si>
    <t>#</t>
  </si>
  <si>
    <t>Role</t>
  </si>
  <si>
    <t>Function</t>
  </si>
  <si>
    <t>Start month</t>
  </si>
  <si>
    <t>Quota region</t>
  </si>
  <si>
    <t>Quota weight</t>
  </si>
  <si>
    <t>Sells from month</t>
  </si>
  <si>
    <t>Start</t>
  </si>
  <si>
    <t>Timeline, opening position and funding</t>
  </si>
  <si>
    <t>Co-founder and CTO</t>
  </si>
  <si>
    <t>Engineering</t>
  </si>
  <si>
    <t>First model year (month 1 = January)</t>
  </si>
  <si>
    <t>year</t>
  </si>
  <si>
    <t>start_year</t>
  </si>
  <si>
    <t>Month 60 = Dec 2031.</t>
  </si>
  <si>
    <t>Engineer</t>
  </si>
  <si>
    <t>Cash at Dec 2026</t>
  </si>
  <si>
    <t>$</t>
  </si>
  <si>
    <t>cash_open</t>
  </si>
  <si>
    <t>Left from the $1.0M pre-seed (fictional).</t>
  </si>
  <si>
    <t>Receivables at Dec 2026</t>
  </si>
  <si>
    <t>ar_open</t>
  </si>
  <si>
    <t>One month of Dec 2026 revenue: the 979-caregiver book at 2027 list prices, Fast Start included (pilot agencies paid it). Checked against the engine.</t>
  </si>
  <si>
    <t>Payables at Dec 2026</t>
  </si>
  <si>
    <t>ap_open</t>
  </si>
  <si>
    <t>Co-founder and Head of Care Operations</t>
  </si>
  <si>
    <t>Implementation and CS</t>
  </si>
  <si>
    <t>Paid-in capital at Dec 2026</t>
  </si>
  <si>
    <t>paidin_open</t>
  </si>
  <si>
    <t>Pre-seed from angels in 2026 (fictional).</t>
  </si>
  <si>
    <t>Co-founder and CEO</t>
  </si>
  <si>
    <t>G&amp;A</t>
  </si>
  <si>
    <t>Accumulated deficit at Dec 2026</t>
  </si>
  <si>
    <t>deficit_open</t>
  </si>
  <si>
    <t>Opening balance sheet balances: 250,000 + 18,918 = 1,000,000 - 731,082.</t>
  </si>
  <si>
    <t>Matching engineer</t>
  </si>
  <si>
    <t>Pre-seed raised in 2026 (memo)</t>
  </si>
  <si>
    <t>preseed_amt</t>
  </si>
  <si>
    <t>Memo only. Already inside paid-in capital.</t>
  </si>
  <si>
    <t>Mobile engineer</t>
  </si>
  <si>
    <t>seed_amt</t>
  </si>
  <si>
    <t>Lands in month 1. SAFE or priced, lead investor sought, terms on request.</t>
  </si>
  <si>
    <t>Head of sales</t>
  </si>
  <si>
    <t>Sales</t>
  </si>
  <si>
    <t>US</t>
  </si>
  <si>
    <t>Seed lands in month</t>
  </si>
  <si>
    <t>month</t>
  </si>
  <si>
    <t>seed_month</t>
  </si>
  <si>
    <t>Jan 2027.</t>
  </si>
  <si>
    <t>Account executive, US</t>
  </si>
  <si>
    <t>Series A (model assumption, not part of this raise)</t>
  </si>
  <si>
    <t>a_amt</t>
  </si>
  <si>
    <t>Assumed only after the gate below is met.</t>
  </si>
  <si>
    <t>Implementation manager</t>
  </si>
  <si>
    <t>Series A lands in month</t>
  </si>
  <si>
    <t>a_month</t>
  </si>
  <si>
    <t>Sep 2028, the month after the gate.</t>
  </si>
  <si>
    <t>Data scientist, call-out prediction</t>
  </si>
  <si>
    <t>Include the Series A (1 = yes, 0 = no)</t>
  </si>
  <si>
    <t>switch</t>
  </si>
  <si>
    <t>a_on</t>
  </si>
  <si>
    <t>Set to 0 to see the seed-only runway on every tab.</t>
  </si>
  <si>
    <t>Interest income on cash, per year</t>
  </si>
  <si>
    <t>%</t>
  </si>
  <si>
    <t>interest_rate</t>
  </si>
  <si>
    <t>Held at 0% for prudence.</t>
  </si>
  <si>
    <t>Security and compliance lead</t>
  </si>
  <si>
    <t>Opening book (fictional pilot program, Dec 2026)</t>
  </si>
  <si>
    <t>Support specialist</t>
  </si>
  <si>
    <t>Paying agencies at Dec 2026</t>
  </si>
  <si>
    <t>agencies</t>
  </si>
  <si>
    <t>ag_open_book</t>
  </si>
  <si>
    <t>Fictional pilot program, 3 US states.</t>
  </si>
  <si>
    <t>Active caregivers at Dec 2026</t>
  </si>
  <si>
    <t>caregivers</t>
  </si>
  <si>
    <t>cg_open_book</t>
  </si>
  <si>
    <t>89 per agency.</t>
  </si>
  <si>
    <t>Customer book</t>
  </si>
  <si>
    <t>Marketing lead</t>
  </si>
  <si>
    <t>Marketing</t>
  </si>
  <si>
    <t>Logo churn per month</t>
  </si>
  <si>
    <t>churn</t>
  </si>
  <si>
    <t>Applied to agencies and to their caregivers.</t>
  </si>
  <si>
    <t>Caregiver growth inside each agency, per month</t>
  </si>
  <si>
    <t>cg_growth</t>
  </si>
  <si>
    <t>UK market lead</t>
  </si>
  <si>
    <t>UK</t>
  </si>
  <si>
    <t>Caregivers per new agency</t>
  </si>
  <si>
    <t>cg_per_new</t>
  </si>
  <si>
    <t>Conservative against the 95 average of the target base.</t>
  </si>
  <si>
    <t>Implementation specialist</t>
  </si>
  <si>
    <t>Sales engine</t>
  </si>
  <si>
    <t>Closes per ramped quota seller, per month</t>
  </si>
  <si>
    <t>closes_per_ae</t>
  </si>
  <si>
    <t>Head of sales carries a 0.5 quota weight. SDRs and managers carry none.</t>
  </si>
  <si>
    <t>Seller ramp, linear</t>
  </si>
  <si>
    <t>months</t>
  </si>
  <si>
    <t>ramp_months</t>
  </si>
  <si>
    <t>Ramp = (month - start + 1) / 4, capped at 1.</t>
  </si>
  <si>
    <t>Market launch month, US</t>
  </si>
  <si>
    <t>launch_us</t>
  </si>
  <si>
    <t>Marketing manager</t>
  </si>
  <si>
    <t>Market launch month, UK domiciliary care</t>
  </si>
  <si>
    <t>launch_uk</t>
  </si>
  <si>
    <t>Jan 2029. A seller starts selling at the later of hire and launch.</t>
  </si>
  <si>
    <t>Finance lead</t>
  </si>
  <si>
    <t>Market launch month, Ireland and Netherlands</t>
  </si>
  <si>
    <t>launch_eu</t>
  </si>
  <si>
    <t>Jan 2030.</t>
  </si>
  <si>
    <t>Founder-led closes per month, first band</t>
  </si>
  <si>
    <t>founder_r1</t>
  </si>
  <si>
    <t>Months 1 to 6.</t>
  </si>
  <si>
    <t>SDR</t>
  </si>
  <si>
    <t>First band ends in month</t>
  </si>
  <si>
    <t>founder_end1</t>
  </si>
  <si>
    <t>Customer success manager</t>
  </si>
  <si>
    <t>Founder-led closes per month, second band</t>
  </si>
  <si>
    <t>founder_r2</t>
  </si>
  <si>
    <t>Months 7 to 12.</t>
  </si>
  <si>
    <t>Second band ends in month</t>
  </si>
  <si>
    <t>founder_end2</t>
  </si>
  <si>
    <t>Founder-led closes per month, third band</t>
  </si>
  <si>
    <t>founder_r3</t>
  </si>
  <si>
    <t>Months 13 to 18, then 0.</t>
  </si>
  <si>
    <t>Implementation or customer success</t>
  </si>
  <si>
    <t>Third band ends in month</t>
  </si>
  <si>
    <t>founder_end3</t>
  </si>
  <si>
    <t>Inbound and referrals, base per month</t>
  </si>
  <si>
    <t>inbound_base</t>
  </si>
  <si>
    <t>Pilot referrals, state association events, free call-out audit.</t>
  </si>
  <si>
    <t>Inbound and referrals, added per model month</t>
  </si>
  <si>
    <t>inbound_slope</t>
  </si>
  <si>
    <t>G&amp;A hire</t>
  </si>
  <si>
    <t>Franchise and marketplace channel starts in month</t>
  </si>
  <si>
    <t>channel_start</t>
  </si>
  <si>
    <t>Jan 2028.</t>
  </si>
  <si>
    <t>Channel closes per month at start</t>
  </si>
  <si>
    <t>channel_base</t>
  </si>
  <si>
    <t>Channel closes added per month after start</t>
  </si>
  <si>
    <t>channel_slope</t>
  </si>
  <si>
    <t>10.4 a month by month 60.</t>
  </si>
  <si>
    <t>Marketing hire</t>
  </si>
  <si>
    <t>Pricing and usage (steps each January)</t>
  </si>
  <si>
    <t>Subscription per active caregiver per month, 2027</t>
  </si>
  <si>
    <t>sub_price</t>
  </si>
  <si>
    <t>Subscription price step each January</t>
  </si>
  <si>
    <t>sub_price_step</t>
  </si>
  <si>
    <t>12.00, 12.48, 12.98, 13.50, 14.04.</t>
  </si>
  <si>
    <t>Account executive, UK</t>
  </si>
  <si>
    <t>Fee per shift filled through Hearthfold, 2027</t>
  </si>
  <si>
    <t>fee_price</t>
  </si>
  <si>
    <t>Filled-shift fee step each January</t>
  </si>
  <si>
    <t>fee_step</t>
  </si>
  <si>
    <t>8.00, 8.24, 8.49, 8.74, 9.00.</t>
  </si>
  <si>
    <t>Shifts per caregiver per month</t>
  </si>
  <si>
    <t>shifts</t>
  </si>
  <si>
    <t>shifts_per_cg</t>
  </si>
  <si>
    <t>Share of shifts that open up (call-outs and gaps)</t>
  </si>
  <si>
    <t>open_rate</t>
  </si>
  <si>
    <t>Share of open shifts filled through Hearthfold, 2027</t>
  </si>
  <si>
    <t>fill_start</t>
  </si>
  <si>
    <t>The rest of covered shifts are filled by phone.</t>
  </si>
  <si>
    <t>Fill share added each year</t>
  </si>
  <si>
    <t>fill_step</t>
  </si>
  <si>
    <t>Fill share cap</t>
  </si>
  <si>
    <t>fill_cap</t>
  </si>
  <si>
    <t>65, 67.5, 70, 72.5, 75%.</t>
  </si>
  <si>
    <t>SDR or sales manager</t>
  </si>
  <si>
    <t>Fast Start fee per caregiver onboarded</t>
  </si>
  <si>
    <t>onb_fee</t>
  </si>
  <si>
    <t>Caregivers onboarded per month, share of book, 2027</t>
  </si>
  <si>
    <t>onb_rate0</t>
  </si>
  <si>
    <t>Yearly fall in the onboarding share</t>
  </si>
  <si>
    <t>onb_rate_step</t>
  </si>
  <si>
    <t>Falls as retention improves: 5.00, 4.75, 4.50, 4.25, 4.00%.</t>
  </si>
  <si>
    <t>Cost of revenue</t>
  </si>
  <si>
    <t>Hosting and data per caregiver per month</t>
  </si>
  <si>
    <t>hosting_cg</t>
  </si>
  <si>
    <t>Messaging (push and SMS) per filled shift</t>
  </si>
  <si>
    <t>msg_shift</t>
  </si>
  <si>
    <t>Payment processing, share of revenue</t>
  </si>
  <si>
    <t>pay_proc_pct</t>
  </si>
  <si>
    <t>ACH by default.</t>
  </si>
  <si>
    <t>Support tooling per agency per month</t>
  </si>
  <si>
    <t>support_ag</t>
  </si>
  <si>
    <t>Payroll (2027 base salary per year)</t>
  </si>
  <si>
    <t>sal_eng</t>
  </si>
  <si>
    <t>Sales (on-target earnings)</t>
  </si>
  <si>
    <t>sal_sales</t>
  </si>
  <si>
    <t>sal_mkt</t>
  </si>
  <si>
    <t>Implementation and customer success</t>
  </si>
  <si>
    <t>sal_cs</t>
  </si>
  <si>
    <t>Sits in cost of revenue.</t>
  </si>
  <si>
    <t>sal_ga</t>
  </si>
  <si>
    <t>Pay rise each January</t>
  </si>
  <si>
    <t>raise_pct</t>
  </si>
  <si>
    <t>Employer on-costs</t>
  </si>
  <si>
    <t>oncost_pct</t>
  </si>
  <si>
    <t>Monthly cost = base x 1.03^year x 1.20 / 12.</t>
  </si>
  <si>
    <t>Operating costs</t>
  </si>
  <si>
    <t>Programme marketing per new agency</t>
  </si>
  <si>
    <t>mkt_per_new</t>
  </si>
  <si>
    <t>Events and content per month</t>
  </si>
  <si>
    <t>mkt_fixed</t>
  </si>
  <si>
    <t>Account executive, Ireland and Netherlands</t>
  </si>
  <si>
    <t>EU</t>
  </si>
  <si>
    <t>Per-head costs per month</t>
  </si>
  <si>
    <t>per_head_cost</t>
  </si>
  <si>
    <t>Software, equipment, travel, coworking. Covers every head.</t>
  </si>
  <si>
    <t>Legal, accounting and business cover per month</t>
  </si>
  <si>
    <t>ga_fixed</t>
  </si>
  <si>
    <t>Security programme per month</t>
  </si>
  <si>
    <t>sec_monthly</t>
  </si>
  <si>
    <t>Security programme starts in month</t>
  </si>
  <si>
    <t>sec_start</t>
  </si>
  <si>
    <t>Sep 2027: SOC 2 audit starts (plan).</t>
  </si>
  <si>
    <t>SOC 2 Type I report (planned, one-off)</t>
  </si>
  <si>
    <t>soc1_cost</t>
  </si>
  <si>
    <t>A plan, not an earned report.</t>
  </si>
  <si>
    <t>SOC 2 Type I report month</t>
  </si>
  <si>
    <t>soc1_month</t>
  </si>
  <si>
    <t>Jun 2028 (planned).</t>
  </si>
  <si>
    <t>SOC 2 Type II report (planned, one-off)</t>
  </si>
  <si>
    <t>soc2_cost</t>
  </si>
  <si>
    <t>Sales manager</t>
  </si>
  <si>
    <t>SOC 2 Type II report month</t>
  </si>
  <si>
    <t>soc2_month</t>
  </si>
  <si>
    <t>Jun 2029 (planned).</t>
  </si>
  <si>
    <t>Working capital, capex and tax</t>
  </si>
  <si>
    <t>Receivable days</t>
  </si>
  <si>
    <t>days</t>
  </si>
  <si>
    <t>ar_days</t>
  </si>
  <si>
    <t>30 days = one month of revenue.</t>
  </si>
  <si>
    <t>Payable days on non-payroll costs</t>
  </si>
  <si>
    <t>ap_days</t>
  </si>
  <si>
    <t>Equipment per new hire</t>
  </si>
  <si>
    <t>capex_per_hire</t>
  </si>
  <si>
    <t>Depreciation, straight line</t>
  </si>
  <si>
    <t>dep_months</t>
  </si>
  <si>
    <t>Starts in the month of purchase.</t>
  </si>
  <si>
    <t>Blended tax rate on positive annual profit</t>
  </si>
  <si>
    <t>tax_rate</t>
  </si>
  <si>
    <t>Charged and paid each December.</t>
  </si>
  <si>
    <t>Loss-pool offset cap, share of the year's profit</t>
  </si>
  <si>
    <t>nol_cap_pct</t>
  </si>
  <si>
    <t>Tax loss pool at Dec 2026</t>
  </si>
  <si>
    <t>nol_open</t>
  </si>
  <si>
    <t>Equal to the opening accumulated deficit. Losses add to it.</t>
  </si>
  <si>
    <t>Series A gate and unit-economics conventions</t>
  </si>
  <si>
    <t>Series A gate: ARR at least</t>
  </si>
  <si>
    <t>gate_arr</t>
  </si>
  <si>
    <t>Gate = first month both thresholds are met.</t>
  </si>
  <si>
    <t>Series A gate: agencies at least</t>
  </si>
  <si>
    <t>gate_ag</t>
  </si>
  <si>
    <t>Series A process opens this many months before the gate</t>
  </si>
  <si>
    <t>process_lead</t>
  </si>
  <si>
    <t>Unit economics measured in month</t>
  </si>
  <si>
    <t>ue_month</t>
  </si>
  <si>
    <t>Dec 2028.</t>
  </si>
  <si>
    <t>CAC measured over year</t>
  </si>
  <si>
    <t>cac_year</t>
  </si>
  <si>
    <t>Sales and marketing / new agencies.</t>
  </si>
  <si>
    <t>LTV horizon</t>
  </si>
  <si>
    <t>ltv_months</t>
  </si>
  <si>
    <t>Gross profit per agency x (1 - 0.99^60) / 0.01.</t>
  </si>
  <si>
    <t>Market (Hearthfold estimates)</t>
  </si>
  <si>
    <t>Target agencies, US</t>
  </si>
  <si>
    <t>mkt_us</t>
  </si>
  <si>
    <t>Agencies with 40 to 400 caregivers. US counts vary from 15,000 to 54,000 by source.</t>
  </si>
  <si>
    <t>Target agencies, UK</t>
  </si>
  <si>
    <t>mkt_uk</t>
  </si>
  <si>
    <t>Target agencies, Ireland and Netherlands</t>
  </si>
  <si>
    <t>mkt_eu</t>
  </si>
  <si>
    <t>Ireland about 150, Netherlands about 750, agencies with 40 to 400 caregivers (Hearthfold estimate).</t>
  </si>
  <si>
    <t>Caregivers per target agency, average</t>
  </si>
  <si>
    <t>mkt_cg</t>
  </si>
  <si>
    <t>Priced at the 2027 blended revenue per caregiver.</t>
  </si>
  <si>
    <t>Target agency size, fewest caregivers</t>
  </si>
  <si>
    <t>mkt_band_min</t>
  </si>
  <si>
    <t>Target band: agencies with 40 to 400 caregivers (Hearthfold estimate).</t>
  </si>
  <si>
    <t>Target agency size, most caregivers</t>
  </si>
  <si>
    <t>mkt_band_max</t>
  </si>
  <si>
    <t>US home care agencies, lowest published count</t>
  </si>
  <si>
    <t>mkt_us_count_low</t>
  </si>
  <si>
    <t>Published US agency counts vary from 15,000 to 54,000 by source and definition.</t>
  </si>
  <si>
    <t>US home care agencies, highest published count</t>
  </si>
  <si>
    <t>mkt_us_count_high</t>
  </si>
  <si>
    <t>Illustrative exit view (illustrative only)</t>
  </si>
  <si>
    <t>Revenue multiple, low</t>
  </si>
  <si>
    <t>x 2031 ARR</t>
  </si>
  <si>
    <t>exit_low</t>
  </si>
  <si>
    <t>Illustrative. No real transactions or company multiples.</t>
  </si>
  <si>
    <t>Revenue multiple, middle</t>
  </si>
  <si>
    <t>exit_mid</t>
  </si>
  <si>
    <t>Revenue multiple, high</t>
  </si>
  <si>
    <t>exit_high</t>
  </si>
  <si>
    <t>Illustrative seed stake after the Series A</t>
  </si>
  <si>
    <t>exit_stake</t>
  </si>
  <si>
    <t>An assumption, not a term.</t>
  </si>
  <si>
    <t>Problem-slide illustration (pilot-baseline agency)</t>
  </si>
  <si>
    <t>Caregivers</t>
  </si>
  <si>
    <t>pa_cg</t>
  </si>
  <si>
    <t>Billed rate per hour</t>
  </si>
  <si>
    <t>pa_rate</t>
  </si>
  <si>
    <t>Region codes: US, UK, EU = Ireland and Netherlands. Quota weight 0.5 for the head of sales, 1 for account executives and regional sellers, 0 for SDRs, managers and every other role.</t>
  </si>
  <si>
    <t>Hours per visit</t>
  </si>
  <si>
    <t>hours</t>
  </si>
  <si>
    <t>pa_hours</t>
  </si>
  <si>
    <t>A 4-hour visit bills $128.</t>
  </si>
  <si>
    <t>Hires for 2029 to 2031: hire k of n in a year starts in month ceil(12k / n) of that year.</t>
  </si>
  <si>
    <t>Open shifts covered at baseline</t>
  </si>
  <si>
    <t>pa_cov</t>
  </si>
  <si>
    <t>Uncovered visits a year = 89 x 16 x 7% x 46% x 12.</t>
  </si>
  <si>
    <t>Fictional pilot program results (slide inputs, not drivers)</t>
  </si>
  <si>
    <t>Pilot length, Jun to Dec 2026</t>
  </si>
  <si>
    <t>pilot_months</t>
  </si>
  <si>
    <t>Fictional pilot program.</t>
  </si>
  <si>
    <t>US states in the pilot</t>
  </si>
  <si>
    <t>states</t>
  </si>
  <si>
    <t>pilot_states</t>
  </si>
  <si>
    <t>Texas, Ohio, Pennsylvania.</t>
  </si>
  <si>
    <t>Open-shift coverage, baseline</t>
  </si>
  <si>
    <t>pilot_cov_before</t>
  </si>
  <si>
    <t>Open-shift coverage, pilot</t>
  </si>
  <si>
    <t>pilot_cov_after</t>
  </si>
  <si>
    <t>Counts every covered open shift, including phone fills.</t>
  </si>
  <si>
    <t>Time to fill a call-out, baseline</t>
  </si>
  <si>
    <t>minutes</t>
  </si>
  <si>
    <t>pilot_fill_before</t>
  </si>
  <si>
    <t>2 h 40 min.</t>
  </si>
  <si>
    <t>Time to fill a call-out, pilot</t>
  </si>
  <si>
    <t>pilot_fill_after</t>
  </si>
  <si>
    <t>90-day new-hire drop-off, baseline</t>
  </si>
  <si>
    <t>pilot_drop_before</t>
  </si>
  <si>
    <t>90-day new-hire drop-off, pilot</t>
  </si>
  <si>
    <t>pilot_drop_after</t>
  </si>
  <si>
    <t>Scheduler hours a week on call-outs, baseline</t>
  </si>
  <si>
    <t>pilot_sched_before</t>
  </si>
  <si>
    <t>Scheduler hours a week on call-outs, pilot</t>
  </si>
  <si>
    <t>pilot_sched_after</t>
  </si>
  <si>
    <t>Average go-live</t>
  </si>
  <si>
    <t>pilot_golive</t>
  </si>
  <si>
    <t>Pilot agencies lost</t>
  </si>
  <si>
    <t>pilot_lost</t>
  </si>
  <si>
    <t>0 of 11.</t>
  </si>
  <si>
    <t>Sourced facts (real, cited on the slides)</t>
  </si>
  <si>
    <t>US median caregiver turnover, 2024</t>
  </si>
  <si>
    <t>fact_turnover</t>
  </si>
  <si>
    <t>Activated Insights 2025 Home Care Benchmarking Report, via HCAOA and HomeCare Magazine.</t>
  </si>
  <si>
    <t>Year the turnover figure measures</t>
  </si>
  <si>
    <t>fact_turnover_year</t>
  </si>
  <si>
    <t>Same report.</t>
  </si>
  <si>
    <t>Medicaid EVV required for home health visits from</t>
  </si>
  <si>
    <t>fact_evv_hh_year</t>
  </si>
  <si>
    <t>21st Century Cures Act, Section 12006. Personal care visits from 2020.</t>
  </si>
  <si>
    <t>Every US baby boomer is 65 or older by</t>
  </si>
  <si>
    <t>fact_boomer_year</t>
  </si>
  <si>
    <t>US Census Bureau, 2017 National Population Projections (press release, March 2018).</t>
  </si>
  <si>
    <t>Age every US baby boomer has reached by that year</t>
  </si>
  <si>
    <t>years</t>
  </si>
  <si>
    <t>fact_boomer_age</t>
  </si>
  <si>
    <t>Same release: all baby boomers will be older than 65 by 2030.</t>
  </si>
  <si>
    <t>Medicaid electronic visit verification</t>
  </si>
  <si>
    <t>Required</t>
  </si>
  <si>
    <t>Required for personal care and home health visits. 21st Century Cures Act, Section 12006 (Medicaid.gov EVV guidance).</t>
  </si>
  <si>
    <t>Hearthfold · Monthly model (USD)</t>
  </si>
  <si>
    <t>Month 1 = Jan 2027. Column D is the opening position at Dec 2026. Every figure is a formula fed by the Assumptions tab.</t>
  </si>
  <si>
    <t>Opening</t>
  </si>
  <si>
    <t>Months 1 to 60 run right to column BL</t>
  </si>
  <si>
    <t>Month</t>
  </si>
  <si>
    <t>Logic</t>
  </si>
  <si>
    <t>Model month</t>
  </si>
  <si>
    <t>Financial year</t>
  </si>
  <si>
    <t>Timeline helpers</t>
  </si>
  <si>
    <t>Year index (0 = first year)</t>
  </si>
  <si>
    <t>Drives the January price, pay and fill-share steps</t>
  </si>
  <si>
    <t>Month of the year</t>
  </si>
  <si>
    <t>Subscription per active caregiver</t>
  </si>
  <si>
    <t>$/month</t>
  </si>
  <si>
    <t>Fee per shift filled through Hearthfold</t>
  </si>
  <si>
    <t>$/shift</t>
  </si>
  <si>
    <t>Share of open shifts filled through Hearthfold</t>
  </si>
  <si>
    <t>Caregivers onboarded through Fast Start</t>
  </si>
  <si>
    <t>% of book</t>
  </si>
  <si>
    <t>Blended revenue per caregiver</t>
  </si>
  <si>
    <t>price + 16 x 7% x fill share x fee + onboarding share x $30</t>
  </si>
  <si>
    <t>Headcount (from the hiring plan on Assumptions)</t>
  </si>
  <si>
    <t>people</t>
  </si>
  <si>
    <t>Total headcount</t>
  </si>
  <si>
    <t>New hires starting this month</t>
  </si>
  <si>
    <t>New agencies signed</t>
  </si>
  <si>
    <t>Quota sellers, US (ramped closes)</t>
  </si>
  <si>
    <t>closes x quota weight x ramp, summed over US quota sellers</t>
  </si>
  <si>
    <t>Quota sellers, UK (ramped closes)</t>
  </si>
  <si>
    <t>UK sellers sell from the UK launch month</t>
  </si>
  <si>
    <t>Quota sellers, Ireland and Netherlands</t>
  </si>
  <si>
    <t>Founder-led closes</t>
  </si>
  <si>
    <t>Inbound and referrals</t>
  </si>
  <si>
    <t>Franchise and marketplace channel</t>
  </si>
  <si>
    <t>New agencies, US</t>
  </si>
  <si>
    <t>Founder-led, inbound and channel closes count as US</t>
  </si>
  <si>
    <t>New agencies, UK</t>
  </si>
  <si>
    <t>New agencies, Ireland and Netherlands</t>
  </si>
  <si>
    <t>New agencies, total</t>
  </si>
  <si>
    <t>Customer book (end of month)</t>
  </si>
  <si>
    <t>Agencies, US</t>
  </si>
  <si>
    <t>Agencies, UK</t>
  </si>
  <si>
    <t>Agencies, Ireland and Netherlands</t>
  </si>
  <si>
    <t>Agencies, total</t>
  </si>
  <si>
    <t>Fractional inside the model; the deck rounds</t>
  </si>
  <si>
    <t>Agencies lost to churn</t>
  </si>
  <si>
    <t>Caregivers on Hearthfold</t>
  </si>
  <si>
    <t>opening x (1 - churn) x 1.006 + new agencies x 85</t>
  </si>
  <si>
    <t>Caregivers per agency</t>
  </si>
  <si>
    <t>Revenue (billed on the opening book of the month)</t>
  </si>
  <si>
    <t>Shifts filled through Hearthfold</t>
  </si>
  <si>
    <t>Subscription</t>
  </si>
  <si>
    <t>Filled-shift fees</t>
  </si>
  <si>
    <t>Fast Start onboarding</t>
  </si>
  <si>
    <t>Total revenue</t>
  </si>
  <si>
    <t>A new agency bills from the month after it signs</t>
  </si>
  <si>
    <t>ARR</t>
  </si>
  <si>
    <t>(subscription + filled-shift fees) x 12; excludes Fast Start</t>
  </si>
  <si>
    <t>Hosting and data</t>
  </si>
  <si>
    <t>Messaging (push and SMS)</t>
  </si>
  <si>
    <t>Payment processing</t>
  </si>
  <si>
    <t>Support tooling</t>
  </si>
  <si>
    <t>Implementation and CS payroll</t>
  </si>
  <si>
    <t>Total cost of revenue</t>
  </si>
  <si>
    <t>Gross profit</t>
  </si>
  <si>
    <t>Gross margin</t>
  </si>
  <si>
    <t>Operating expenses</t>
  </si>
  <si>
    <t>Sales payroll</t>
  </si>
  <si>
    <t>Marketing payroll</t>
  </si>
  <si>
    <t>Programme marketing and events</t>
  </si>
  <si>
    <t>$4,500 per new agency + $5,000 a month</t>
  </si>
  <si>
    <t>Sales and marketing</t>
  </si>
  <si>
    <t>Engineering payroll</t>
  </si>
  <si>
    <t>Research and development</t>
  </si>
  <si>
    <t>G&amp;A payroll</t>
  </si>
  <si>
    <t>Per-head costs (software, equipment, travel, coworking)</t>
  </si>
  <si>
    <t>Legal, accounting and business cover</t>
  </si>
  <si>
    <t>Security programme and SOC 2 reports (planned)</t>
  </si>
  <si>
    <t>General and administrative</t>
  </si>
  <si>
    <t>Total operating expenses</t>
  </si>
  <si>
    <t>Profit</t>
  </si>
  <si>
    <t>EBITDA</t>
  </si>
  <si>
    <t>Equipment purchases (capex)</t>
  </si>
  <si>
    <t>Depreciation</t>
  </si>
  <si>
    <t>36-month straight line from the month of purchase</t>
  </si>
  <si>
    <t>EBIT</t>
  </si>
  <si>
    <t>Interest income on cash</t>
  </si>
  <si>
    <t>Profit before tax</t>
  </si>
  <si>
    <t>Profit before tax, year to date</t>
  </si>
  <si>
    <t>Tax (charged and paid each December)</t>
  </si>
  <si>
    <t>25% of profit after the loss pool, offset capped at 80% of the profit</t>
  </si>
  <si>
    <t>Tax loss pool, end of month</t>
  </si>
  <si>
    <t>Net income</t>
  </si>
  <si>
    <t>Working capital, funding and cash</t>
  </si>
  <si>
    <t>Non-payroll costs (basis for payables)</t>
  </si>
  <si>
    <t>Receivables</t>
  </si>
  <si>
    <t>30 days = one month of revenue</t>
  </si>
  <si>
    <t>Payables</t>
  </si>
  <si>
    <t>30 days on non-payroll costs</t>
  </si>
  <si>
    <t>Equity raised</t>
  </si>
  <si>
    <t>Seed in month 1; Series A is a model assumption</t>
  </si>
  <si>
    <t>Cash, end of month</t>
  </si>
  <si>
    <t>Direct roll; ties to the Cash Flow and Balance Sheet tabs</t>
  </si>
  <si>
    <t>Milestone helpers</t>
  </si>
  <si>
    <t>Cash with no Series A</t>
  </si>
  <si>
    <t>Exact while interest income is 0%</t>
  </si>
  <si>
    <t>Series A gate met (ARR and agencies)</t>
  </si>
  <si>
    <t>flag</t>
  </si>
  <si>
    <t>Cash below zero with no Series A</t>
  </si>
  <si>
    <t>Cash before the Series A month</t>
  </si>
  <si>
    <t>Cash from the Series A month on</t>
  </si>
  <si>
    <t>EBITDA positive this month and every month after</t>
  </si>
  <si>
    <t>Hearthfold · Annual P&amp;L and key figures (USD)</t>
  </si>
  <si>
    <t>Rolled up from the Monthly tab with live formulas (SUMIFS for flows, year-end INDEX for balances).</t>
  </si>
  <si>
    <t>USD unless stated</t>
  </si>
  <si>
    <t>5-year total</t>
  </si>
  <si>
    <t>Agencies, US (year end)</t>
  </si>
  <si>
    <t>Agencies, UK (year end)</t>
  </si>
  <si>
    <t>Agencies, Ireland and Netherlands (year end)</t>
  </si>
  <si>
    <t>Agencies, total (year end)</t>
  </si>
  <si>
    <t>Caregivers on Hearthfold (year end)</t>
  </si>
  <si>
    <t>Revenue</t>
  </si>
  <si>
    <t>Revenue growth</t>
  </si>
  <si>
    <t>Subscription share of revenue</t>
  </si>
  <si>
    <t>Filled-shift fee share of revenue</t>
  </si>
  <si>
    <t>Fast Start share of revenue</t>
  </si>
  <si>
    <t>Messaging</t>
  </si>
  <si>
    <t>EBITDA margin</t>
  </si>
  <si>
    <t>Interest income</t>
  </si>
  <si>
    <t>Tax</t>
  </si>
  <si>
    <t>Key figures</t>
  </si>
  <si>
    <t>ARR, December (see note)</t>
  </si>
  <si>
    <t>Cash, year end</t>
  </si>
  <si>
    <t>Headcount, year end</t>
  </si>
  <si>
    <t>Blended CAC (sales and marketing / new agencies)</t>
  </si>
  <si>
    <t>Equipment purchases</t>
  </si>
  <si>
    <t>Revenue is billed on the opening book of each month, so a new agency bills from the month after it signs. Three statements reconcile in all 60 months (see Checks).</t>
  </si>
  <si>
    <t>Hearthfold · Cash flow statement (indirect method, USD)</t>
  </si>
  <si>
    <t>Monthly, with full-year totals in columns BN to BR and the live milestones below. Green figures link from the Monthly tab.</t>
  </si>
  <si>
    <t>Full year</t>
  </si>
  <si>
    <t>Operating activities</t>
  </si>
  <si>
    <t>Add back depreciation</t>
  </si>
  <si>
    <t>(Increase) in receivables</t>
  </si>
  <si>
    <t>Increase in payables</t>
  </si>
  <si>
    <t>Cash from operating activities</t>
  </si>
  <si>
    <t>Investing activities</t>
  </si>
  <si>
    <t>Cash from investing activities</t>
  </si>
  <si>
    <t>Financing activities</t>
  </si>
  <si>
    <t>Equity raised (seed; Series A model assumption)</t>
  </si>
  <si>
    <t>Cash from financing activities</t>
  </si>
  <si>
    <t>Cash</t>
  </si>
  <si>
    <t>Net change in cash</t>
  </si>
  <si>
    <t>Opening cash</t>
  </si>
  <si>
    <t>Closing cash</t>
  </si>
  <si>
    <t>Must equal Balance Sheet cash</t>
  </si>
  <si>
    <t>Memo: free cash flow (operating + investing)</t>
  </si>
  <si>
    <t>Memo: cash with no Series A</t>
  </si>
  <si>
    <t>Milestones and runway (live)</t>
  </si>
  <si>
    <t>Series A gate month (ARR and agency thresholds both met)</t>
  </si>
  <si>
    <t>Gate met in</t>
  </si>
  <si>
    <t>date</t>
  </si>
  <si>
    <t>ARR at the gate</t>
  </si>
  <si>
    <t>Agencies at the gate</t>
  </si>
  <si>
    <t>Headcount at the gate</t>
  </si>
  <si>
    <t>Series A process opens (month)</t>
  </si>
  <si>
    <t>ARR when the process opens</t>
  </si>
  <si>
    <t>Series A lands (month, model assumption)</t>
  </si>
  <si>
    <t>Month of that low point</t>
  </si>
  <si>
    <t>Cash-out month with no Series A (first month cash is negative)</t>
  </si>
  <si>
    <t>Months from the gate to the cash-out month, no Series A</t>
  </si>
  <si>
    <t>Cash low point after the Series A</t>
  </si>
  <si>
    <t>Average monthly EBITDA before the Series A</t>
  </si>
  <si>
    <t>Lowest monthly EBITDA (peak burn)</t>
  </si>
  <si>
    <t>Month of peak burn</t>
  </si>
  <si>
    <t>Cash at Dec 2031</t>
  </si>
  <si>
    <t>Hearthfold · Balance sheet (USD)</t>
  </si>
  <si>
    <t>Month-end balances. Column D is the opening balance sheet at Dec 2026. The check row must read 0.00 in every column.</t>
  </si>
  <si>
    <t>Year end</t>
  </si>
  <si>
    <t>Assets</t>
  </si>
  <si>
    <t>Equipment at cost</t>
  </si>
  <si>
    <t>Accumulated depreciation</t>
  </si>
  <si>
    <t>Equipment, net</t>
  </si>
  <si>
    <t>Total assets</t>
  </si>
  <si>
    <t>Liabilities</t>
  </si>
  <si>
    <t>Total liabilities</t>
  </si>
  <si>
    <t>Tax is paid in the month it is charged</t>
  </si>
  <si>
    <t>Equity</t>
  </si>
  <si>
    <t>Paid-in capital</t>
  </si>
  <si>
    <t>Accumulated deficit</t>
  </si>
  <si>
    <t>Total equity</t>
  </si>
  <si>
    <t>Total liabilities and equity</t>
  </si>
  <si>
    <t>Check</t>
  </si>
  <si>
    <t>Assets minus liabilities and equity (must be 0)</t>
  </si>
  <si>
    <t>Hearthfold · Unit economics, market and illustrative exit</t>
  </si>
  <si>
    <t>Live formulas. Measured at the month and year set on Assumptions (month 24 = Dec 2028; CAC over 2028).</t>
  </si>
  <si>
    <t>Measure</t>
  </si>
  <si>
    <t>Cumulative gross profit per agency</t>
  </si>
  <si>
    <t>CAC</t>
  </si>
  <si>
    <t>Year</t>
  </si>
  <si>
    <t>ARPA in December</t>
  </si>
  <si>
    <t>Blended CAC</t>
  </si>
  <si>
    <t>Per agency, measured at month 24 (Dec 2028)</t>
  </si>
  <si>
    <t>Revenue in the month</t>
  </si>
  <si>
    <t>Agencies billed (opening book of the month)</t>
  </si>
  <si>
    <t>Revenue per agency (ARPA), per month</t>
  </si>
  <si>
    <t>ARPA, annualised</t>
  </si>
  <si>
    <t>Gross profit in the month</t>
  </si>
  <si>
    <t>Gross profit per agency, per month</t>
  </si>
  <si>
    <t>Gross margin in the month</t>
  </si>
  <si>
    <t>Acquisition cost and payback</t>
  </si>
  <si>
    <t>Sales and marketing over the CAC year</t>
  </si>
  <si>
    <t>New agencies over the CAC year</t>
  </si>
  <si>
    <t>CAC payback (months of gross profit)</t>
  </si>
  <si>
    <t>5-year LTV (gross profit, churn-adjusted)</t>
  </si>
  <si>
    <t>x</t>
  </si>
  <si>
    <t>Retention</t>
  </si>
  <si>
    <t>Gross logo retention, per year</t>
  </si>
  <si>
    <t>Net revenue retention, per year (approximation)</t>
  </si>
  <si>
    <t>Revenue per caregiver</t>
  </si>
  <si>
    <t>Blended revenue per caregiver per month, 2027</t>
  </si>
  <si>
    <t>Blended revenue per caregiver per month, 2031</t>
  </si>
  <si>
    <t>Target agencies</t>
  </si>
  <si>
    <t>Revenue per caregiver per month used for sizing (2027, to the cent)</t>
  </si>
  <si>
    <t>Serviceable market per year, US</t>
  </si>
  <si>
    <t>Serviceable market per year, UK</t>
  </si>
  <si>
    <t>Serviceable market per year, Ireland and Netherlands</t>
  </si>
  <si>
    <t>Serviceable market per year, total</t>
  </si>
  <si>
    <t>2031 revenue as a share of that market</t>
  </si>
  <si>
    <t>Dec 2031 agencies as a share of target agencies</t>
  </si>
  <si>
    <t>Illustrative exit view (illustrative only: not a forecast, valuation or comparable deal)</t>
  </si>
  <si>
    <t>Value at the low multiple</t>
  </si>
  <si>
    <t>Value at the middle multiple</t>
  </si>
  <si>
    <t>Value at the high multiple</t>
  </si>
  <si>
    <t>Illustrative seed stake, low</t>
  </si>
  <si>
    <t>Illustrative seed stake, high</t>
  </si>
  <si>
    <t>Multiple on the seed, low (before later rounds)</t>
  </si>
  <si>
    <t>Multiple on the seed, high (before later rounds)</t>
  </si>
  <si>
    <t>Problem-slide arithmetic (illustrative pilot-baseline agency)</t>
  </si>
  <si>
    <t>Uncovered visits per year</t>
  </si>
  <si>
    <t>visits</t>
  </si>
  <si>
    <t>Booked care lost per year</t>
  </si>
  <si>
    <t>CAC = sales and marketing over the CAC year / new agencies signed that year. Gross profit per agency is measured in month 24.</t>
  </si>
  <si>
    <t>Illustrative only. Not a forecast, valuation or comparable deal. No real transactions or company multiples are cited. The 16% stake is an assumption, not a term.</t>
  </si>
  <si>
    <t>Hearthfold · Sensitivity</t>
  </si>
  <si>
    <t>Each cell is a full 60-month re-run of the model in hearthfold_model.py with two drivers changed. Values are pasted from that script; re-run it to refresh. The base case is outlined.</t>
  </si>
  <si>
    <t>Grid A. Months from the Series A gate to the cash-out month, with no Series A</t>
  </si>
  <si>
    <t>Brick: 0 or less (cash runs out in or before the gate month). Apricot: 1 to 2 months spare. Sage: 3 or more, or no cash gap.</t>
  </si>
  <si>
    <t>Closes per ramped AE per month (rows) x Subscription price per caregiver per month (columns)</t>
  </si>
  <si>
    <t>no cash gap</t>
  </si>
  <si>
    <t>Gate met before cash runs out in 18 of 25 cases; 3 or more months spare in 13; base case 4 months.</t>
  </si>
  <si>
    <t>Grid A, behind the cells: Series A gate month</t>
  </si>
  <si>
    <t>First month with ARR of at least $3.0M and at least 150 agencies.</t>
  </si>
  <si>
    <t>Grid A, behind the cells: cash-out month with no Series A</t>
  </si>
  <si>
    <t>Blank where cash never falls below zero in 60 months.</t>
  </si>
  <si>
    <t>none</t>
  </si>
  <si>
    <t>Grid B. 2031 EBITDA ($M) by price and monthly logo churn</t>
  </si>
  <si>
    <t>Series A assumed in every cell. All 25 cells are positive. In 4 cells (price $10, churn 0.8% or more) the seed does not reach the gate before cash runs out.</t>
  </si>
  <si>
    <t>Subscription price per caregiver per month (rows) x Monthly logo churn (columns)</t>
  </si>
  <si>
    <t>Grid C. Dec 2031 ARR ($M) by seller productivity and monthly logo churn</t>
  </si>
  <si>
    <t>Closes per ramped AE per month (rows) x Monthly logo churn (columns)</t>
  </si>
  <si>
    <t>Named risk cases</t>
  </si>
  <si>
    <t>Case</t>
  </si>
  <si>
    <t>2031 EBITDA ($M)</t>
  </si>
  <si>
    <t>Gate month</t>
  </si>
  <si>
    <t>Cash-out month, no Series A</t>
  </si>
  <si>
    <t>Months spare</t>
  </si>
  <si>
    <t>Dec 2031 ARR ($M)</t>
  </si>
  <si>
    <t>Base case</t>
  </si>
  <si>
    <t>Fill share stuck at 50%</t>
  </si>
  <si>
    <t>1.5 closes per AE</t>
  </si>
  <si>
    <t>Price $10.50 per caregiver</t>
  </si>
  <si>
    <t>Logo churn 1.8% a month</t>
  </si>
  <si>
    <t>Hearthfold · Checks</t>
  </si>
  <si>
    <t>Integrity checks must pass for any inputs. The tie-out compares this workbook with the figures in the sample deck (base case).</t>
  </si>
  <si>
    <t>Integrity check (must pass for any inputs)</t>
  </si>
  <si>
    <t>Pass if</t>
  </si>
  <si>
    <t>Result</t>
  </si>
  <si>
    <t>What it proves</t>
  </si>
  <si>
    <t>Balance sheet balances in every column, Dec 2026 to Dec 2031 (largest absolute gap)</t>
  </si>
  <si>
    <t>&lt;= 0.01</t>
  </si>
  <si>
    <t>Assets = liabilities + equity, 61 balance sheets</t>
  </si>
  <si>
    <t>Cash flow closing cash equals balance-sheet cash, all 60 months (sum of gaps)</t>
  </si>
  <si>
    <t>Indirect cash flow ties to the balance sheet</t>
  </si>
  <si>
    <t>Cash flow closing cash equals the Monthly cash roll, all 60 months (sum of gaps)</t>
  </si>
  <si>
    <t>Two independent cash builds agree</t>
  </si>
  <si>
    <t>Revenue lines add up to total revenue, all months (sum of gaps)</t>
  </si>
  <si>
    <t>Annual revenue equals the sum of monthly revenue</t>
  </si>
  <si>
    <t>Annual roll-up formulas pick up every month</t>
  </si>
  <si>
    <t>Annual EBITDA equals the sum of monthly EBITDA</t>
  </si>
  <si>
    <t>Five-year net income equals the change in accumulated deficit</t>
  </si>
  <si>
    <t>P&amp;L ties to equity</t>
  </si>
  <si>
    <t>Agency roll-forward: opening + new - lost = closing</t>
  </si>
  <si>
    <t>&lt;= 0.0001</t>
  </si>
  <si>
    <t>Regional new agencies add up to total new agencies</t>
  </si>
  <si>
    <t>Headcount at Dec 2031 equals the roles in the hiring plan</t>
  </si>
  <si>
    <t>equals 0</t>
  </si>
  <si>
    <t>Equity raised equals seed plus Series A (if included)</t>
  </si>
  <si>
    <t>No error values on Monthly, Cash Flow or Balance Sheet</t>
  </si>
  <si>
    <t>Plan test (base case passes; downside inputs can fail it)</t>
  </si>
  <si>
    <t>Cash stays at or above zero in every month</t>
  </si>
  <si>
    <t>&gt;= 0</t>
  </si>
  <si>
    <t>Lowest month-end cash with the funding as set</t>
  </si>
  <si>
    <t>Series A gate is met before the Series A month (months early)</t>
  </si>
  <si>
    <t>&gt;= 1</t>
  </si>
  <si>
    <t>The seed funds the plan to the named milestone</t>
  </si>
  <si>
    <t>Series A gate is met before cash runs out with no Series A (months spare)</t>
  </si>
  <si>
    <t>Base case: 4 months spare</t>
  </si>
  <si>
    <t>Base-case tie-out to the sample deck (numbers.json). Differences are expected once inputs change.</t>
  </si>
  <si>
    <t>This workbook</t>
  </si>
  <si>
    <t>Deck value</t>
  </si>
  <si>
    <t>Shown on the deck as</t>
  </si>
  <si>
    <t>$27.7M</t>
  </si>
  <si>
    <t>$6.3M</t>
  </si>
  <si>
    <t>$5.9M</t>
  </si>
  <si>
    <t>$12.9M</t>
  </si>
  <si>
    <t>$32.2M</t>
  </si>
  <si>
    <t>1,364</t>
  </si>
  <si>
    <t>Caregivers, Dec 2031</t>
  </si>
  <si>
    <t>128,618</t>
  </si>
  <si>
    <t>81%</t>
  </si>
  <si>
    <t>Blended CAC 2028</t>
  </si>
  <si>
    <t>$11.3k</t>
  </si>
  <si>
    <t>Series A gate month</t>
  </si>
  <si>
    <t>20</t>
  </si>
  <si>
    <t>$3.03M</t>
  </si>
  <si>
    <t>163</t>
  </si>
  <si>
    <t>$0.64M</t>
  </si>
  <si>
    <t>24</t>
  </si>
  <si>
    <t>EBITDA positive from month</t>
  </si>
  <si>
    <t>40</t>
  </si>
  <si>
    <t>8.2</t>
  </si>
  <si>
    <t>5.5x</t>
  </si>
  <si>
    <t>Serviceable market per year</t>
  </si>
  <si>
    <t>$361M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</si>
</sst>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#,##0_);\(#,##0\);&quot;-&quot;_)"/>
    <numFmt numFmtId="165" formatCode="0.0%"/>
    <numFmt numFmtId="166" formatCode="0.0"/>
    <numFmt numFmtId="167" formatCode="\$#,##0.00"/>
    <numFmt numFmtId="168" formatCode="mmm\ yyyy"/>
    <numFmt numFmtId="169" formatCode="#,##0.0"/>
    <numFmt numFmtId="170" formatCode="0.00;\-0.00;0.00"/>
    <numFmt numFmtId="171" formatCode="\$#,##0_);\(\$#,##0\);&quot;-&quot;_)"/>
    <numFmt numFmtId="172" formatCode="0.0&quot;x&quot;"/>
    <numFmt numFmtId="173" formatCode="\$0.00"/>
    <numFmt numFmtId="174" formatCode="0;\-0;0"/>
  </numFmts>
  <fonts count="20" x14ac:knownFonts="1">
    <font>
      <sz val="11"/>
      <color theme="1"/>
      <name val="Calibri"/>
      <family val="2"/>
      <scheme val="minor"/>
    </font>
    <font>
      <b/>
      <sz val="15"/>
      <color rgb="FF2B1A3D"/>
      <name val="Calibri"/>
    </font>
    <font>
      <i/>
      <sz val="10"/>
      <color rgb="FF6F6879"/>
      <name val="Calibri"/>
    </font>
    <font>
      <b/>
      <sz val="10"/>
      <color rgb="FF7A4E0E"/>
      <name val="Calibri"/>
    </font>
    <font>
      <b/>
      <sz val="10"/>
      <color rgb="FFFFFFFF"/>
      <name val="Calibri"/>
    </font>
    <font>
      <b/>
      <sz val="10"/>
      <color rgb="FF2B1A3D"/>
      <name val="Calibri"/>
    </font>
    <font>
      <sz val="10"/>
      <color rgb="FF231C2B"/>
      <name val="Calibri"/>
    </font>
    <font>
      <sz val="10"/>
      <color rgb="FF0000FF"/>
      <name val="Calibri"/>
    </font>
    <font>
      <sz val="10"/>
      <color rgb="FF6F6879"/>
      <name val="Calibri"/>
    </font>
    <font>
      <sz val="9"/>
      <color rgb="FF6F6879"/>
      <name val="Consolas"/>
    </font>
    <font>
      <b/>
      <sz val="10"/>
      <color rgb="FF6F6879"/>
      <name val="Calibri"/>
    </font>
    <font>
      <sz val="9"/>
      <color rgb="FF6F6879"/>
      <name val="Calibri"/>
    </font>
    <font>
      <i/>
      <sz val="9"/>
      <color rgb="FF6F6879"/>
      <name val="Calibri"/>
    </font>
    <font>
      <b/>
      <sz val="10"/>
      <color rgb="FF231C2B"/>
      <name val="Calibri"/>
    </font>
    <font>
      <sz val="10"/>
      <color rgb="FF3F7A5A"/>
      <name val="Calibri"/>
    </font>
    <font>
      <b/>
      <sz val="12"/>
      <color rgb="FF2B1A3D"/>
      <name val="Calibri"/>
    </font>
    <font>
      <b/>
      <sz val="20"/>
      <color rgb="FF2B1A3D"/>
      <name val="Calibri"/>
    </font>
    <font>
      <b/>
      <sz val="11"/>
      <color rgb="FFB8461F"/>
      <name val="Calibri"/>
    </font>
    <font>
      <sz val="10.5"/>
      <color rgb="FF231C2B"/>
      <name val="Calibri"/>
    </font>
    <font>
      <b/>
      <sz val="10"/>
      <color rgb="FFB8461F"/>
      <name val="Calibri"/>
    </font>
  </fonts>
  <fills count="32">
    <fill>
      <patternFill patternType="none"/>
    </fill>
    <fill>
      <patternFill patternType="gray125"/>
    </fill>
    <fill>
      <patternFill patternType="solid">
        <fgColor rgb="FFFFF4E0"/>
        <bgColor rgb="FFFFF4E0"/>
      </patternFill>
    </fill>
    <fill>
      <patternFill patternType="solid">
        <fgColor rgb="FF2B1A3D"/>
        <bgColor rgb="FF2B1A3D"/>
      </patternFill>
    </fill>
    <fill>
      <patternFill patternType="solid">
        <fgColor rgb="FFEDE5F3"/>
        <bgColor rgb="FFEDE5F3"/>
      </patternFill>
    </fill>
    <fill>
      <patternFill patternType="solid">
        <fgColor rgb="FF3E2A55"/>
        <bgColor rgb="FF3E2A55"/>
      </patternFill>
    </fill>
    <fill>
      <patternFill patternType="solid">
        <fgColor rgb="FFC4433A"/>
        <bgColor rgb="FFC4433A"/>
      </patternFill>
    </fill>
    <fill>
      <patternFill patternType="solid">
        <fgColor rgb="FFFBE0C2"/>
        <bgColor rgb="FFFBE0C2"/>
      </patternFill>
    </fill>
    <fill>
      <patternFill patternType="solid">
        <fgColor rgb="FFD3E8DB"/>
        <bgColor rgb="FFD3E8DB"/>
      </patternFill>
    </fill>
    <fill>
      <patternFill patternType="solid">
        <fgColor rgb="FFA3C8B3"/>
        <bgColor rgb="FFA3C8B3"/>
      </patternFill>
    </fill>
    <fill>
      <patternFill patternType="solid">
        <fgColor rgb="FFACCEBA"/>
        <bgColor rgb="FFACCEBA"/>
      </patternFill>
    </fill>
    <fill>
      <patternFill patternType="solid">
        <fgColor rgb="FFB5D4C2"/>
        <bgColor rgb="FFB5D4C2"/>
      </patternFill>
    </fill>
    <fill>
      <patternFill patternType="solid">
        <fgColor rgb="FFC5DFCF"/>
        <bgColor rgb="FFC5DFCF"/>
      </patternFill>
    </fill>
    <fill>
      <patternFill patternType="solid">
        <fgColor rgb="FF91BDA4"/>
        <bgColor rgb="FF91BDA4"/>
      </patternFill>
    </fill>
    <fill>
      <patternFill patternType="solid">
        <fgColor rgb="FF9BC3AC"/>
        <bgColor rgb="FF9BC3AC"/>
      </patternFill>
    </fill>
    <fill>
      <patternFill patternType="solid">
        <fgColor rgb="FFA4C9B4"/>
        <bgColor rgb="FFA4C9B4"/>
      </patternFill>
    </fill>
    <fill>
      <patternFill patternType="solid">
        <fgColor rgb="FFC4DECF"/>
        <bgColor rgb="FFC4DECF"/>
      </patternFill>
    </fill>
    <fill>
      <patternFill patternType="solid">
        <fgColor rgb="FF7FB195"/>
        <bgColor rgb="FF7FB195"/>
      </patternFill>
    </fill>
    <fill>
      <patternFill patternType="solid">
        <fgColor rgb="FF8AB89E"/>
        <bgColor rgb="FF8AB89E"/>
      </patternFill>
    </fill>
    <fill>
      <patternFill patternType="solid">
        <fgColor rgb="FF93BEA6"/>
        <bgColor rgb="FF93BEA6"/>
      </patternFill>
    </fill>
    <fill>
      <patternFill patternType="solid">
        <fgColor rgb="FFA6CAB5"/>
        <bgColor rgb="FFA6CAB5"/>
      </patternFill>
    </fill>
    <fill>
      <patternFill patternType="solid">
        <fgColor rgb="FFB6D5C3"/>
        <bgColor rgb="FFB6D5C3"/>
      </patternFill>
    </fill>
    <fill>
      <patternFill patternType="solid">
        <fgColor rgb="FF6EA687"/>
        <bgColor rgb="FF6EA687"/>
      </patternFill>
    </fill>
    <fill>
      <patternFill patternType="solid">
        <fgColor rgb="FF79AD90"/>
        <bgColor rgb="FF79AD90"/>
      </patternFill>
    </fill>
    <fill>
      <patternFill patternType="solid">
        <fgColor rgb="FF83B398"/>
        <bgColor rgb="FF83B398"/>
      </patternFill>
    </fill>
    <fill>
      <patternFill patternType="solid">
        <fgColor rgb="FF96C0A8"/>
        <bgColor rgb="FF96C0A8"/>
      </patternFill>
    </fill>
    <fill>
      <patternFill patternType="solid">
        <fgColor rgb="FFA7CBB7"/>
        <bgColor rgb="FFA7CBB7"/>
      </patternFill>
    </fill>
    <fill>
      <patternFill patternType="solid">
        <fgColor rgb="FF5C9A78"/>
        <bgColor rgb="FF5C9A78"/>
      </patternFill>
    </fill>
    <fill>
      <patternFill patternType="solid">
        <fgColor rgb="FF67A282"/>
        <bgColor rgb="FF67A282"/>
      </patternFill>
    </fill>
    <fill>
      <patternFill patternType="solid">
        <fgColor rgb="FF72A98B"/>
        <bgColor rgb="FF72A98B"/>
      </patternFill>
    </fill>
    <fill>
      <patternFill patternType="solid">
        <fgColor rgb="FF86B69B"/>
        <bgColor rgb="FF86B69B"/>
      </patternFill>
    </fill>
    <fill>
      <patternFill patternType="solid">
        <fgColor rgb="FF99C2AA"/>
        <bgColor rgb="FF99C2AA"/>
      </patternFill>
    </fill>
  </fills>
  <borders count="5">
    <border>
      <left/>
      <right/>
      <top/>
      <bottom/>
      <diagonal/>
    </border>
    <border>
      <left style="dashed">
        <color rgb="FFC98A2E"/>
      </left>
      <right style="dashed">
        <color rgb="FFC98A2E"/>
      </right>
      <top style="dashed">
        <color rgb="FFC98A2E"/>
      </top>
      <bottom style="dashed">
        <color rgb="FFC98A2E"/>
      </bottom>
      <diagonal/>
    </border>
    <border>
      <left style="thin">
        <color rgb="FFE4DCE8"/>
      </left>
      <right style="thin">
        <color rgb="FFE4DCE8"/>
      </right>
      <top style="thin">
        <color rgb="FFE4DCE8"/>
      </top>
      <bottom style="thin">
        <color rgb="FFE4DCE8"/>
      </bottom>
      <diagonal/>
    </border>
    <border>
      <left/>
      <right/>
      <top style="thin">
        <color rgb="FF2B1A3D"/>
      </top>
      <bottom/>
      <diagonal/>
    </border>
    <border>
      <left style="thick">
        <color rgb="FF2B1A3D"/>
      </left>
      <right style="thick">
        <color rgb="FF2B1A3D"/>
      </right>
      <top style="thick">
        <color rgb="FF2B1A3D"/>
      </top>
      <bottom style="thick">
        <color rgb="FF2B1A3D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6" fillId="0" borderId="0" xfId="0" applyFont="1"/>
    <xf numFmtId="0" fontId="3" fillId="2" borderId="1" xfId="0" applyFont="1" applyFill="1" applyBorder="1" applyAlignment="1">
      <alignment horizontal="center" vertical="center"/>
    </xf>
    <xf numFmtId="0" fontId="17" fillId="0" borderId="0" xfId="0" applyFont="1"/>
    <xf numFmtId="0" fontId="2" fillId="0" borderId="0" xfId="0" applyFont="1"/>
    <xf numFmtId="0" fontId="15" fillId="0" borderId="0" xfId="0" applyFont="1"/>
    <xf numFmtId="0" fontId="19" fillId="0" borderId="0" xfId="0" applyFont="1" applyAlignment="1">
      <alignment vertical="top"/>
    </xf>
    <xf numFmtId="0" fontId="4" fillId="3" borderId="0" xfId="0" applyFont="1" applyFill="1"/>
    <xf numFmtId="0" fontId="6" fillId="0" borderId="0" xfId="0" applyFont="1"/>
    <xf numFmtId="171" fontId="13" fillId="0" borderId="0" xfId="0" applyNumberFormat="1" applyFont="1" applyAlignment="1">
      <alignment horizontal="right"/>
    </xf>
    <xf numFmtId="0" fontId="11" fillId="0" borderId="0" xfId="0" applyFont="1"/>
    <xf numFmtId="165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72" fontId="13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right"/>
    </xf>
    <xf numFmtId="0" fontId="1" fillId="0" borderId="0" xfId="0" applyFont="1"/>
    <xf numFmtId="0" fontId="5" fillId="0" borderId="0" xfId="0" applyFont="1"/>
    <xf numFmtId="0" fontId="5" fillId="4" borderId="0" xfId="0" applyFont="1" applyFill="1"/>
    <xf numFmtId="0" fontId="0" fillId="4" borderId="0" xfId="0" applyFill="1"/>
    <xf numFmtId="0" fontId="8" fillId="0" borderId="0" xfId="0" applyFont="1"/>
    <xf numFmtId="0" fontId="7" fillId="2" borderId="2" xfId="0" applyFont="1" applyFill="1" applyBorder="1"/>
    <xf numFmtId="166" fontId="7" fillId="2" borderId="2" xfId="0" applyNumberFormat="1" applyFont="1" applyFill="1" applyBorder="1"/>
    <xf numFmtId="1" fontId="6" fillId="0" borderId="0" xfId="0" applyNumberFormat="1" applyFont="1"/>
    <xf numFmtId="168" fontId="6" fillId="0" borderId="0" xfId="0" applyNumberFormat="1" applyFont="1"/>
    <xf numFmtId="1" fontId="7" fillId="2" borderId="2" xfId="0" applyNumberFormat="1" applyFont="1" applyFill="1" applyBorder="1"/>
    <xf numFmtId="0" fontId="9" fillId="0" borderId="0" xfId="0" applyFont="1"/>
    <xf numFmtId="164" fontId="7" fillId="2" borderId="2" xfId="0" applyNumberFormat="1" applyFont="1" applyFill="1" applyBorder="1"/>
    <xf numFmtId="165" fontId="7" fillId="2" borderId="2" xfId="0" applyNumberFormat="1" applyFont="1" applyFill="1" applyBorder="1"/>
    <xf numFmtId="3" fontId="7" fillId="2" borderId="2" xfId="0" applyNumberFormat="1" applyFont="1" applyFill="1" applyBorder="1"/>
    <xf numFmtId="2" fontId="7" fillId="2" borderId="2" xfId="0" applyNumberFormat="1" applyFont="1" applyFill="1" applyBorder="1"/>
    <xf numFmtId="167" fontId="7" fillId="2" borderId="2" xfId="0" applyNumberFormat="1" applyFont="1" applyFill="1" applyBorder="1"/>
    <xf numFmtId="10" fontId="7" fillId="2" borderId="2" xfId="0" applyNumberFormat="1" applyFont="1" applyFill="1" applyBorder="1"/>
    <xf numFmtId="9" fontId="7" fillId="2" borderId="2" xfId="0" applyNumberFormat="1" applyFont="1" applyFill="1" applyBorder="1"/>
    <xf numFmtId="0" fontId="7" fillId="2" borderId="0" xfId="0" applyFont="1" applyFill="1"/>
    <xf numFmtId="0" fontId="10" fillId="0" borderId="0" xfId="0" applyFont="1"/>
    <xf numFmtId="168" fontId="4" fillId="3" borderId="0" xfId="0" applyNumberFormat="1" applyFont="1" applyFill="1"/>
    <xf numFmtId="1" fontId="11" fillId="0" borderId="0" xfId="0" applyNumberFormat="1" applyFont="1"/>
    <xf numFmtId="0" fontId="12" fillId="0" borderId="0" xfId="0" applyFont="1"/>
    <xf numFmtId="167" fontId="6" fillId="0" borderId="0" xfId="0" applyNumberFormat="1" applyFont="1"/>
    <xf numFmtId="165" fontId="6" fillId="0" borderId="0" xfId="0" applyNumberFormat="1" applyFont="1"/>
    <xf numFmtId="10" fontId="6" fillId="0" borderId="0" xfId="0" applyNumberFormat="1" applyFont="1"/>
    <xf numFmtId="3" fontId="6" fillId="0" borderId="0" xfId="0" applyNumberFormat="1" applyFont="1"/>
    <xf numFmtId="0" fontId="13" fillId="0" borderId="0" xfId="0" applyFont="1"/>
    <xf numFmtId="3" fontId="13" fillId="0" borderId="0" xfId="0" applyNumberFormat="1" applyFont="1"/>
    <xf numFmtId="3" fontId="13" fillId="0" borderId="3" xfId="0" applyNumberFormat="1" applyFont="1" applyBorder="1"/>
    <xf numFmtId="169" fontId="6" fillId="0" borderId="0" xfId="0" applyNumberFormat="1" applyFont="1"/>
    <xf numFmtId="169" fontId="13" fillId="0" borderId="3" xfId="0" applyNumberFormat="1" applyFont="1" applyBorder="1"/>
    <xf numFmtId="169" fontId="13" fillId="0" borderId="0" xfId="0" applyNumberFormat="1" applyFont="1"/>
    <xf numFmtId="164" fontId="6" fillId="0" borderId="0" xfId="0" applyNumberFormat="1" applyFont="1"/>
    <xf numFmtId="164" fontId="13" fillId="0" borderId="3" xfId="0" applyNumberFormat="1" applyFont="1" applyBorder="1"/>
    <xf numFmtId="164" fontId="13" fillId="0" borderId="0" xfId="0" applyNumberFormat="1" applyFont="1"/>
    <xf numFmtId="0" fontId="0" fillId="3" borderId="0" xfId="0" applyFill="1"/>
    <xf numFmtId="1" fontId="4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right"/>
    </xf>
    <xf numFmtId="9" fontId="6" fillId="0" borderId="0" xfId="0" applyNumberFormat="1" applyFont="1"/>
    <xf numFmtId="1" fontId="4" fillId="5" borderId="0" xfId="0" applyNumberFormat="1" applyFont="1" applyFill="1"/>
    <xf numFmtId="164" fontId="14" fillId="0" borderId="0" xfId="0" applyNumberFormat="1" applyFont="1"/>
    <xf numFmtId="1" fontId="13" fillId="0" borderId="0" xfId="0" applyNumberFormat="1" applyFont="1"/>
    <xf numFmtId="168" fontId="13" fillId="0" borderId="0" xfId="0" applyNumberFormat="1" applyFont="1"/>
    <xf numFmtId="170" fontId="13" fillId="0" borderId="0" xfId="0" applyNumberFormat="1" applyFont="1"/>
    <xf numFmtId="170" fontId="13" fillId="0" borderId="3" xfId="0" applyNumberFormat="1" applyFont="1" applyBorder="1"/>
    <xf numFmtId="0" fontId="4" fillId="5" borderId="0" xfId="0" applyFont="1" applyFill="1"/>
    <xf numFmtId="171" fontId="6" fillId="0" borderId="0" xfId="0" applyNumberFormat="1" applyFont="1"/>
    <xf numFmtId="1" fontId="8" fillId="0" borderId="0" xfId="0" applyNumberFormat="1" applyFont="1"/>
    <xf numFmtId="171" fontId="13" fillId="0" borderId="0" xfId="0" applyNumberFormat="1" applyFont="1"/>
    <xf numFmtId="165" fontId="13" fillId="0" borderId="0" xfId="0" applyNumberFormat="1" applyFont="1"/>
    <xf numFmtId="166" fontId="13" fillId="0" borderId="0" xfId="0" applyNumberFormat="1" applyFont="1"/>
    <xf numFmtId="172" fontId="13" fillId="0" borderId="0" xfId="0" applyNumberFormat="1" applyFont="1"/>
    <xf numFmtId="167" fontId="13" fillId="0" borderId="0" xfId="0" applyNumberFormat="1" applyFont="1"/>
    <xf numFmtId="173" fontId="4" fillId="3" borderId="0" xfId="0" applyNumberFormat="1" applyFont="1" applyFill="1" applyAlignment="1">
      <alignment horizontal="center"/>
    </xf>
    <xf numFmtId="166" fontId="4" fillId="5" borderId="0" xfId="0" applyNumberFormat="1" applyFont="1" applyFill="1" applyAlignment="1">
      <alignment horizontal="center"/>
    </xf>
    <xf numFmtId="174" fontId="4" fillId="6" borderId="0" xfId="0" applyNumberFormat="1" applyFont="1" applyFill="1" applyAlignment="1">
      <alignment horizontal="center"/>
    </xf>
    <xf numFmtId="174" fontId="13" fillId="7" borderId="0" xfId="0" applyNumberFormat="1" applyFont="1" applyFill="1" applyAlignment="1">
      <alignment horizontal="center"/>
    </xf>
    <xf numFmtId="174" fontId="13" fillId="8" borderId="0" xfId="0" applyNumberFormat="1" applyFont="1" applyFill="1" applyAlignment="1">
      <alignment horizontal="center"/>
    </xf>
    <xf numFmtId="174" fontId="13" fillId="8" borderId="4" xfId="0" applyNumberFormat="1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65" fontId="4" fillId="3" borderId="0" xfId="0" applyNumberFormat="1" applyFont="1" applyFill="1" applyAlignment="1">
      <alignment horizontal="center"/>
    </xf>
    <xf numFmtId="173" fontId="4" fillId="5" borderId="0" xfId="0" applyNumberFormat="1" applyFont="1" applyFill="1" applyAlignment="1">
      <alignment horizontal="center"/>
    </xf>
    <xf numFmtId="166" fontId="13" fillId="9" borderId="0" xfId="0" applyNumberFormat="1" applyFont="1" applyFill="1" applyAlignment="1">
      <alignment horizontal="center"/>
    </xf>
    <xf numFmtId="166" fontId="13" fillId="10" borderId="0" xfId="0" applyNumberFormat="1" applyFont="1" applyFill="1" applyAlignment="1">
      <alignment horizontal="center"/>
    </xf>
    <xf numFmtId="166" fontId="13" fillId="11" borderId="0" xfId="0" applyNumberFormat="1" applyFont="1" applyFill="1" applyAlignment="1">
      <alignment horizontal="center"/>
    </xf>
    <xf numFmtId="166" fontId="13" fillId="12" borderId="0" xfId="0" applyNumberFormat="1" applyFont="1" applyFill="1" applyAlignment="1">
      <alignment horizontal="center"/>
    </xf>
    <xf numFmtId="166" fontId="13" fillId="8" borderId="0" xfId="0" applyNumberFormat="1" applyFont="1" applyFill="1" applyAlignment="1">
      <alignment horizontal="center"/>
    </xf>
    <xf numFmtId="166" fontId="13" fillId="13" borderId="0" xfId="0" applyNumberFormat="1" applyFont="1" applyFill="1" applyAlignment="1">
      <alignment horizontal="center"/>
    </xf>
    <xf numFmtId="166" fontId="13" fillId="14" borderId="0" xfId="0" applyNumberFormat="1" applyFont="1" applyFill="1" applyAlignment="1">
      <alignment horizontal="center"/>
    </xf>
    <xf numFmtId="166" fontId="13" fillId="15" borderId="0" xfId="0" applyNumberFormat="1" applyFont="1" applyFill="1" applyAlignment="1">
      <alignment horizontal="center"/>
    </xf>
    <xf numFmtId="166" fontId="13" fillId="16" borderId="0" xfId="0" applyNumberFormat="1" applyFont="1" applyFill="1" applyAlignment="1">
      <alignment horizontal="center"/>
    </xf>
    <xf numFmtId="166" fontId="13" fillId="17" borderId="0" xfId="0" applyNumberFormat="1" applyFont="1" applyFill="1" applyAlignment="1">
      <alignment horizontal="center"/>
    </xf>
    <xf numFmtId="166" fontId="13" fillId="18" borderId="0" xfId="0" applyNumberFormat="1" applyFont="1" applyFill="1" applyAlignment="1">
      <alignment horizontal="center"/>
    </xf>
    <xf numFmtId="166" fontId="13" fillId="19" borderId="4" xfId="0" applyNumberFormat="1" applyFont="1" applyFill="1" applyBorder="1" applyAlignment="1">
      <alignment horizontal="center"/>
    </xf>
    <xf numFmtId="166" fontId="13" fillId="20" borderId="0" xfId="0" applyNumberFormat="1" applyFont="1" applyFill="1" applyAlignment="1">
      <alignment horizontal="center"/>
    </xf>
    <xf numFmtId="166" fontId="13" fillId="21" borderId="0" xfId="0" applyNumberFormat="1" applyFont="1" applyFill="1" applyAlignment="1">
      <alignment horizontal="center"/>
    </xf>
    <xf numFmtId="166" fontId="13" fillId="22" borderId="0" xfId="0" applyNumberFormat="1" applyFont="1" applyFill="1" applyAlignment="1">
      <alignment horizontal="center"/>
    </xf>
    <xf numFmtId="166" fontId="13" fillId="23" borderId="0" xfId="0" applyNumberFormat="1" applyFont="1" applyFill="1" applyAlignment="1">
      <alignment horizontal="center"/>
    </xf>
    <xf numFmtId="166" fontId="13" fillId="24" borderId="0" xfId="0" applyNumberFormat="1" applyFont="1" applyFill="1" applyAlignment="1">
      <alignment horizontal="center"/>
    </xf>
    <xf numFmtId="166" fontId="13" fillId="25" borderId="0" xfId="0" applyNumberFormat="1" applyFont="1" applyFill="1" applyAlignment="1">
      <alignment horizontal="center"/>
    </xf>
    <xf numFmtId="166" fontId="13" fillId="26" borderId="0" xfId="0" applyNumberFormat="1" applyFont="1" applyFill="1" applyAlignment="1">
      <alignment horizontal="center"/>
    </xf>
    <xf numFmtId="166" fontId="13" fillId="27" borderId="0" xfId="0" applyNumberFormat="1" applyFont="1" applyFill="1" applyAlignment="1">
      <alignment horizontal="center"/>
    </xf>
    <xf numFmtId="166" fontId="13" fillId="28" borderId="0" xfId="0" applyNumberFormat="1" applyFont="1" applyFill="1" applyAlignment="1">
      <alignment horizontal="center"/>
    </xf>
    <xf numFmtId="166" fontId="13" fillId="29" borderId="0" xfId="0" applyNumberFormat="1" applyFont="1" applyFill="1" applyAlignment="1">
      <alignment horizontal="center"/>
    </xf>
    <xf numFmtId="166" fontId="13" fillId="30" borderId="0" xfId="0" applyNumberFormat="1" applyFont="1" applyFill="1" applyAlignment="1">
      <alignment horizontal="center"/>
    </xf>
    <xf numFmtId="166" fontId="13" fillId="31" borderId="0" xfId="0" applyNumberFormat="1" applyFont="1" applyFill="1" applyAlignment="1">
      <alignment horizontal="center"/>
    </xf>
    <xf numFmtId="166" fontId="6" fillId="0" borderId="2" xfId="0" applyNumberFormat="1" applyFont="1" applyBorder="1" applyAlignment="1">
      <alignment horizontal="center"/>
    </xf>
    <xf numFmtId="166" fontId="6" fillId="0" borderId="4" xfId="0" applyNumberFormat="1" applyFont="1" applyBorder="1" applyAlignment="1">
      <alignment horizont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13" fillId="0" borderId="2" xfId="0" applyFont="1" applyBorder="1"/>
    <xf numFmtId="166" fontId="13" fillId="0" borderId="2" xfId="0" applyNumberFormat="1" applyFont="1" applyBorder="1"/>
    <xf numFmtId="0" fontId="6" fillId="0" borderId="2" xfId="0" applyFont="1" applyBorder="1"/>
    <xf numFmtId="166" fontId="6" fillId="0" borderId="2" xfId="0" applyNumberFormat="1" applyFont="1" applyBorder="1"/>
    <xf numFmtId="4" fontId="13" fillId="0" borderId="0" xfId="0" applyNumberFormat="1" applyFont="1"/>
    <xf numFmtId="0" fontId="13" fillId="0" borderId="0" xfId="0" applyFont="1" applyAlignment="1">
      <alignment horizontal="center"/>
    </xf>
    <xf numFmtId="164" fontId="8" fillId="0" borderId="0" xfId="0" applyNumberFormat="1" applyFont="1"/>
    <xf numFmtId="169" fontId="8" fillId="0" borderId="0" xfId="0" applyNumberFormat="1" applyFont="1"/>
    <xf numFmtId="3" fontId="8" fillId="0" borderId="0" xfId="0" applyNumberFormat="1" applyFont="1"/>
    <xf numFmtId="165" fontId="8" fillId="0" borderId="0" xfId="0" applyNumberFormat="1" applyFont="1"/>
    <xf numFmtId="166" fontId="8" fillId="0" borderId="0" xfId="0" applyNumberFormat="1" applyFont="1"/>
    <xf numFmtId="172" fontId="8" fillId="0" borderId="0" xfId="0" applyNumberFormat="1" applyFont="1"/>
    <xf numFmtId="0" fontId="18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top" wrapText="1"/>
    </xf>
    <xf numFmtId="0" fontId="18" fillId="0" borderId="0" xfId="0" applyFont="1"/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b/>
        <color rgb="FF7A4E0E"/>
      </font>
      <fill>
        <patternFill patternType="solid">
          <fgColor rgb="FFFBE0C2"/>
          <bgColor rgb="FFFBE0C2"/>
        </patternFill>
      </fill>
    </dxf>
    <dxf>
      <font>
        <b/>
        <color rgb="FF3F7A5A"/>
      </font>
      <fill>
        <patternFill patternType="solid">
          <fgColor rgb="FFD3E8DB"/>
          <bgColor rgb="FFD3E8DB"/>
        </patternFill>
      </fill>
    </dxf>
    <dxf>
      <font>
        <b/>
        <color rgb="FFFFFFFF"/>
      </font>
      <fill>
        <patternFill patternType="solid">
          <fgColor rgb="FFC4433A"/>
          <bgColor rgb="FFC4433A"/>
        </patternFill>
      </fill>
    </dxf>
    <dxf>
      <fill>
        <patternFill patternType="solid">
          <fgColor rgb="FFD3E8DB"/>
          <bgColor rgb="FFD3E8DB"/>
        </patternFill>
      </fill>
    </dxf>
    <dxf>
      <font>
        <b/>
        <color rgb="FFFFFFFF"/>
      </font>
      <fill>
        <patternFill patternType="solid">
          <fgColor rgb="FFC4433A"/>
          <bgColor rgb="FFC4433A"/>
        </patternFill>
      </fill>
    </dxf>
    <dxf>
      <fill>
        <patternFill patternType="solid">
          <fgColor rgb="FFD3E8DB"/>
          <bgColor rgb="FFD3E8DB"/>
        </patternFill>
      </fill>
    </dxf>
    <dxf>
      <font>
        <b/>
        <color rgb="FFFFFFFF"/>
      </font>
      <fill>
        <patternFill patternType="solid">
          <fgColor rgb="FFC4433A"/>
          <bgColor rgb="FFC4433A"/>
        </patternFill>
      </fill>
    </dxf>
    <dxf>
      <font>
        <b/>
        <color rgb="FF3F7A5A"/>
      </font>
      <fill>
        <patternFill patternType="solid">
          <fgColor rgb="FFD3E8DB"/>
          <bgColor rgb="FFD3E8DB"/>
        </patternFill>
      </fill>
    </dxf>
    <dxf>
      <font>
        <b/>
        <color rgb="FFFFFFFF"/>
      </font>
      <fill>
        <patternFill patternType="solid">
          <fgColor rgb="FFC4433A"/>
          <bgColor rgb="FFC4433A"/>
        </patternFill>
      </fill>
    </dxf>
    <dxf>
      <font>
        <b/>
        <color rgb="FF3F7A5A"/>
      </font>
      <fill>
        <patternFill patternType="solid">
          <fgColor rgb="FFD3E8DB"/>
          <bgColor rgb="FFD3E8D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B1A3D"/>
    <pageSetUpPr fitToPage="1"/>
  </sheetPr>
  <dimension ref="A1:D51"/>
  <sheetViews>
    <sheetView showGridLines="0" tabSelected="1" workbookViewId="0"/>
  </sheetViews>
  <sheetFormatPr defaultRowHeight="15" x14ac:dyDescent="0.25"/>
  <cols>
    <col min="1" max="1" width="44" customWidth="1"/>
    <col min="2" max="2" width="34" customWidth="1"/>
    <col min="3" max="3" width="18" customWidth="1"/>
    <col min="4" max="4" width="56" customWidth="1"/>
  </cols>
  <sheetData>
    <row r="1" spans="1:4" ht="26.25" x14ac:dyDescent="0.4">
      <c r="A1" s="1" t="s">
        <v>0</v>
      </c>
      <c r="D1" s="2" t="s">
        <v>1</v>
      </c>
    </row>
    <row r="2" spans="1:4" x14ac:dyDescent="0.25">
      <c r="A2" s="3" t="s">
        <v>2</v>
      </c>
    </row>
    <row r="3" spans="1:4" x14ac:dyDescent="0.25">
      <c r="A3" s="4" t="s">
        <v>3</v>
      </c>
    </row>
    <row r="5" spans="1:4" ht="15.75" x14ac:dyDescent="0.25">
      <c r="A5" s="5" t="s">
        <v>4</v>
      </c>
    </row>
    <row r="6" spans="1:4" ht="32.1" customHeight="1" x14ac:dyDescent="0.25">
      <c r="A6" s="121" t="s">
        <v>5</v>
      </c>
      <c r="B6" s="122"/>
      <c r="C6" s="122"/>
      <c r="D6" s="122"/>
    </row>
    <row r="7" spans="1:4" ht="32.1" customHeight="1" x14ac:dyDescent="0.25">
      <c r="A7" s="121" t="s">
        <v>6</v>
      </c>
      <c r="B7" s="122"/>
      <c r="C7" s="122"/>
      <c r="D7" s="122"/>
    </row>
    <row r="8" spans="1:4" ht="17.100000000000001" customHeight="1" x14ac:dyDescent="0.25">
      <c r="A8" s="121" t="s">
        <v>7</v>
      </c>
      <c r="B8" s="122"/>
      <c r="C8" s="122"/>
      <c r="D8" s="122"/>
    </row>
    <row r="9" spans="1:4" ht="15.75" x14ac:dyDescent="0.25">
      <c r="A9" s="5" t="s">
        <v>8</v>
      </c>
    </row>
    <row r="10" spans="1:4" ht="17.100000000000001" customHeight="1" x14ac:dyDescent="0.25">
      <c r="A10" s="121" t="s">
        <v>9</v>
      </c>
      <c r="B10" s="122"/>
      <c r="C10" s="122"/>
      <c r="D10" s="122"/>
    </row>
    <row r="11" spans="1:4" ht="32.1" customHeight="1" x14ac:dyDescent="0.25">
      <c r="A11" s="121" t="s">
        <v>10</v>
      </c>
      <c r="B11" s="122"/>
      <c r="C11" s="122"/>
      <c r="D11" s="122"/>
    </row>
    <row r="12" spans="1:4" ht="17.100000000000001" customHeight="1" x14ac:dyDescent="0.25">
      <c r="A12" s="121" t="s">
        <v>11</v>
      </c>
      <c r="B12" s="122"/>
      <c r="C12" s="122"/>
      <c r="D12" s="122"/>
    </row>
    <row r="13" spans="1:4" ht="17.100000000000001" customHeight="1" x14ac:dyDescent="0.25">
      <c r="A13" s="121" t="s">
        <v>12</v>
      </c>
      <c r="B13" s="122"/>
      <c r="C13" s="122"/>
      <c r="D13" s="122"/>
    </row>
    <row r="14" spans="1:4" ht="15.75" x14ac:dyDescent="0.25">
      <c r="A14" s="5" t="s">
        <v>13</v>
      </c>
    </row>
    <row r="15" spans="1:4" ht="17.100000000000001" customHeight="1" x14ac:dyDescent="0.25">
      <c r="A15" s="6" t="s">
        <v>14</v>
      </c>
      <c r="B15" s="123" t="s">
        <v>15</v>
      </c>
      <c r="C15" s="122"/>
      <c r="D15" s="122"/>
    </row>
    <row r="16" spans="1:4" ht="32.1" customHeight="1" x14ac:dyDescent="0.25">
      <c r="A16" s="6" t="s">
        <v>16</v>
      </c>
      <c r="B16" s="123" t="s">
        <v>17</v>
      </c>
      <c r="C16" s="122"/>
      <c r="D16" s="122"/>
    </row>
    <row r="17" spans="1:4" ht="17.100000000000001" customHeight="1" x14ac:dyDescent="0.25">
      <c r="A17" s="6" t="s">
        <v>18</v>
      </c>
      <c r="B17" s="123" t="s">
        <v>19</v>
      </c>
      <c r="C17" s="122"/>
      <c r="D17" s="122"/>
    </row>
    <row r="18" spans="1:4" ht="17.100000000000001" customHeight="1" x14ac:dyDescent="0.25">
      <c r="A18" s="6" t="s">
        <v>20</v>
      </c>
      <c r="B18" s="123" t="s">
        <v>21</v>
      </c>
      <c r="C18" s="122"/>
      <c r="D18" s="122"/>
    </row>
    <row r="19" spans="1:4" ht="17.100000000000001" customHeight="1" x14ac:dyDescent="0.25">
      <c r="A19" s="6" t="s">
        <v>22</v>
      </c>
      <c r="B19" s="123" t="s">
        <v>23</v>
      </c>
      <c r="C19" s="122"/>
      <c r="D19" s="122"/>
    </row>
    <row r="20" spans="1:4" ht="17.100000000000001" customHeight="1" x14ac:dyDescent="0.25">
      <c r="A20" s="6" t="s">
        <v>24</v>
      </c>
      <c r="B20" s="123" t="s">
        <v>25</v>
      </c>
      <c r="C20" s="122"/>
      <c r="D20" s="122"/>
    </row>
    <row r="21" spans="1:4" ht="17.100000000000001" customHeight="1" x14ac:dyDescent="0.25">
      <c r="A21" s="6" t="s">
        <v>26</v>
      </c>
      <c r="B21" s="123" t="s">
        <v>27</v>
      </c>
      <c r="C21" s="122"/>
      <c r="D21" s="122"/>
    </row>
    <row r="22" spans="1:4" ht="17.100000000000001" customHeight="1" x14ac:dyDescent="0.25">
      <c r="A22" s="6" t="s">
        <v>28</v>
      </c>
      <c r="B22" s="123" t="s">
        <v>29</v>
      </c>
      <c r="C22" s="122"/>
      <c r="D22" s="122"/>
    </row>
    <row r="24" spans="1:4" ht="15.75" x14ac:dyDescent="0.25">
      <c r="A24" s="5" t="s">
        <v>30</v>
      </c>
    </row>
    <row r="25" spans="1:4" x14ac:dyDescent="0.25">
      <c r="A25" s="7" t="s">
        <v>31</v>
      </c>
      <c r="B25" s="7" t="s">
        <v>32</v>
      </c>
      <c r="C25" s="7" t="s">
        <v>33</v>
      </c>
    </row>
    <row r="26" spans="1:4" x14ac:dyDescent="0.25">
      <c r="A26" s="8" t="s">
        <v>34</v>
      </c>
      <c r="B26" s="9">
        <f>seed_amt</f>
        <v>3500000</v>
      </c>
      <c r="C26" s="10" t="s">
        <v>14</v>
      </c>
    </row>
    <row r="27" spans="1:4" x14ac:dyDescent="0.25">
      <c r="A27" s="8" t="s">
        <v>35</v>
      </c>
      <c r="B27" s="9">
        <f>'Annual P&amp;L'!C18</f>
        <v>739991.7138653032</v>
      </c>
      <c r="C27" s="10" t="s">
        <v>18</v>
      </c>
    </row>
    <row r="28" spans="1:4" x14ac:dyDescent="0.25">
      <c r="A28" s="8" t="s">
        <v>36</v>
      </c>
      <c r="B28" s="9">
        <f>'Annual P&amp;L'!G18</f>
        <v>27697532.498353619</v>
      </c>
      <c r="C28" s="10" t="s">
        <v>18</v>
      </c>
    </row>
    <row r="29" spans="1:4" x14ac:dyDescent="0.25">
      <c r="A29" s="8" t="s">
        <v>37</v>
      </c>
      <c r="B29" s="11">
        <f>'Annual P&amp;L'!G31</f>
        <v>0.81258263579611223</v>
      </c>
      <c r="C29" s="10" t="s">
        <v>18</v>
      </c>
    </row>
    <row r="30" spans="1:4" x14ac:dyDescent="0.25">
      <c r="A30" s="8" t="s">
        <v>38</v>
      </c>
      <c r="B30" s="9">
        <f>'Annual P&amp;L'!G38</f>
        <v>6260082.7088406645</v>
      </c>
      <c r="C30" s="10" t="s">
        <v>18</v>
      </c>
    </row>
    <row r="31" spans="1:4" x14ac:dyDescent="0.25">
      <c r="A31" s="8" t="s">
        <v>39</v>
      </c>
      <c r="B31" s="9">
        <f>'Annual P&amp;L'!G45</f>
        <v>5892981.3511764091</v>
      </c>
      <c r="C31" s="10" t="s">
        <v>18</v>
      </c>
    </row>
    <row r="32" spans="1:4" x14ac:dyDescent="0.25">
      <c r="A32" s="8" t="s">
        <v>40</v>
      </c>
      <c r="B32" s="9">
        <f>'Annual P&amp;L'!G47</f>
        <v>32173345.895246241</v>
      </c>
      <c r="C32" s="10" t="s">
        <v>18</v>
      </c>
    </row>
    <row r="33" spans="1:4" x14ac:dyDescent="0.25">
      <c r="A33" s="8" t="s">
        <v>41</v>
      </c>
      <c r="B33" s="9">
        <f>'Annual P&amp;L'!G48</f>
        <v>12940986.177740345</v>
      </c>
      <c r="C33" s="10" t="s">
        <v>18</v>
      </c>
    </row>
    <row r="34" spans="1:4" x14ac:dyDescent="0.25">
      <c r="A34" s="8" t="s">
        <v>42</v>
      </c>
      <c r="B34" s="12">
        <f>'Annual P&amp;L'!G9</f>
        <v>1364.0770391016931</v>
      </c>
      <c r="C34" s="10" t="s">
        <v>18</v>
      </c>
    </row>
    <row r="35" spans="1:4" x14ac:dyDescent="0.25">
      <c r="A35" s="8" t="s">
        <v>43</v>
      </c>
      <c r="B35" s="13">
        <f>'Cash Flow'!$D$29</f>
        <v>20</v>
      </c>
      <c r="C35" s="10" t="s">
        <v>20</v>
      </c>
    </row>
    <row r="36" spans="1:4" x14ac:dyDescent="0.25">
      <c r="A36" s="8" t="s">
        <v>44</v>
      </c>
      <c r="B36" s="9">
        <f>'Cash Flow'!$D$37</f>
        <v>638505.1145233456</v>
      </c>
      <c r="C36" s="10" t="s">
        <v>20</v>
      </c>
    </row>
    <row r="37" spans="1:4" x14ac:dyDescent="0.25">
      <c r="A37" s="8" t="s">
        <v>45</v>
      </c>
      <c r="B37" s="13">
        <f>'Cash Flow'!$D$39</f>
        <v>24</v>
      </c>
      <c r="C37" s="10" t="s">
        <v>20</v>
      </c>
    </row>
    <row r="38" spans="1:4" x14ac:dyDescent="0.25">
      <c r="A38" s="8" t="s">
        <v>46</v>
      </c>
      <c r="B38" s="13">
        <f>'Cash Flow'!$D$43</f>
        <v>40</v>
      </c>
      <c r="C38" s="10" t="s">
        <v>20</v>
      </c>
    </row>
    <row r="39" spans="1:4" x14ac:dyDescent="0.25">
      <c r="A39" s="8" t="s">
        <v>47</v>
      </c>
      <c r="B39" s="14">
        <f>'Unit Economics'!$B$17</f>
        <v>8.1968553826530979</v>
      </c>
      <c r="C39" s="10" t="s">
        <v>24</v>
      </c>
    </row>
    <row r="40" spans="1:4" x14ac:dyDescent="0.25">
      <c r="A40" s="8" t="s">
        <v>48</v>
      </c>
      <c r="B40" s="15">
        <f>'Unit Economics'!$B$19</f>
        <v>5.5245985987209894</v>
      </c>
      <c r="C40" s="10" t="s">
        <v>24</v>
      </c>
    </row>
    <row r="41" spans="1:4" x14ac:dyDescent="0.25">
      <c r="A41" s="8" t="s">
        <v>49</v>
      </c>
      <c r="B41" s="16" t="str">
        <f>Checks!B3</f>
        <v>ALL 12 INTEGRITY CHECKS PASS</v>
      </c>
      <c r="C41" s="10" t="s">
        <v>28</v>
      </c>
    </row>
    <row r="42" spans="1:4" x14ac:dyDescent="0.25">
      <c r="A42" s="8" t="s">
        <v>50</v>
      </c>
      <c r="B42" s="16" t="str">
        <f>Checks!B4</f>
        <v>ALL 3 PLAN TESTS PASS</v>
      </c>
      <c r="C42" s="10" t="s">
        <v>28</v>
      </c>
    </row>
    <row r="44" spans="1:4" ht="15.75" x14ac:dyDescent="0.25">
      <c r="A44" s="5" t="s">
        <v>51</v>
      </c>
    </row>
    <row r="45" spans="1:4" x14ac:dyDescent="0.25">
      <c r="A45" s="124" t="s">
        <v>52</v>
      </c>
      <c r="B45" s="122"/>
      <c r="C45" s="122"/>
      <c r="D45" s="122"/>
    </row>
    <row r="46" spans="1:4" x14ac:dyDescent="0.25">
      <c r="A46" s="124" t="s">
        <v>53</v>
      </c>
      <c r="B46" s="122"/>
      <c r="C46" s="122"/>
      <c r="D46" s="122"/>
    </row>
    <row r="47" spans="1:4" x14ac:dyDescent="0.25">
      <c r="A47" s="124" t="s">
        <v>54</v>
      </c>
      <c r="B47" s="122"/>
      <c r="C47" s="122"/>
      <c r="D47" s="122"/>
    </row>
    <row r="48" spans="1:4" x14ac:dyDescent="0.25">
      <c r="A48" s="124" t="s">
        <v>55</v>
      </c>
      <c r="B48" s="122"/>
      <c r="C48" s="122"/>
      <c r="D48" s="122"/>
    </row>
    <row r="49" spans="1:4" x14ac:dyDescent="0.25">
      <c r="A49" s="124" t="s">
        <v>56</v>
      </c>
      <c r="B49" s="122"/>
      <c r="C49" s="122"/>
      <c r="D49" s="122"/>
    </row>
    <row r="50" spans="1:4" x14ac:dyDescent="0.25">
      <c r="A50" s="124" t="s">
        <v>57</v>
      </c>
      <c r="B50" s="122"/>
      <c r="C50" s="122"/>
      <c r="D50" s="122"/>
    </row>
    <row r="51" spans="1:4" x14ac:dyDescent="0.25">
      <c r="A51" s="124" t="s">
        <v>58</v>
      </c>
      <c r="B51" s="122"/>
      <c r="C51" s="122"/>
      <c r="D51" s="122"/>
    </row>
  </sheetData>
  <mergeCells count="22">
    <mergeCell ref="A6:D6"/>
    <mergeCell ref="A7:D7"/>
    <mergeCell ref="A46:D46"/>
    <mergeCell ref="B16:D16"/>
    <mergeCell ref="A12:D12"/>
    <mergeCell ref="B22:D22"/>
    <mergeCell ref="B18:D18"/>
    <mergeCell ref="B21:D21"/>
    <mergeCell ref="A48:D48"/>
    <mergeCell ref="A11:D11"/>
    <mergeCell ref="B15:D15"/>
    <mergeCell ref="A49:D49"/>
    <mergeCell ref="A51:D51"/>
    <mergeCell ref="B20:D20"/>
    <mergeCell ref="A45:D45"/>
    <mergeCell ref="A50:D50"/>
    <mergeCell ref="A47:D47"/>
    <mergeCell ref="A8:D8"/>
    <mergeCell ref="B17:D17"/>
    <mergeCell ref="A10:D10"/>
    <mergeCell ref="A13:D13"/>
    <mergeCell ref="B19:D19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673F"/>
    <pageSetUpPr fitToPage="1"/>
  </sheetPr>
  <dimension ref="A1:N133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52" customWidth="1"/>
    <col min="2" max="2" width="14" customWidth="1"/>
    <col min="3" max="3" width="12" customWidth="1"/>
    <col min="4" max="4" width="17" customWidth="1"/>
    <col min="5" max="5" width="70" customWidth="1"/>
    <col min="6" max="6" width="3" customWidth="1"/>
    <col min="7" max="7" width="5" customWidth="1"/>
    <col min="8" max="8" width="38" customWidth="1"/>
    <col min="9" max="9" width="21" customWidth="1"/>
    <col min="10" max="10" width="11" customWidth="1"/>
    <col min="11" max="12" width="12" customWidth="1"/>
    <col min="13" max="13" width="15" customWidth="1"/>
    <col min="14" max="14" width="11" customWidth="1"/>
  </cols>
  <sheetData>
    <row r="1" spans="1:14" ht="19.5" x14ac:dyDescent="0.3">
      <c r="A1" s="17" t="s">
        <v>59</v>
      </c>
      <c r="E1" s="2" t="s">
        <v>1</v>
      </c>
    </row>
    <row r="2" spans="1:14" x14ac:dyDescent="0.25">
      <c r="A2" s="4" t="s">
        <v>60</v>
      </c>
    </row>
    <row r="3" spans="1:14" x14ac:dyDescent="0.25">
      <c r="G3" s="18" t="s">
        <v>61</v>
      </c>
    </row>
    <row r="4" spans="1:14" x14ac:dyDescent="0.25">
      <c r="A4" s="7" t="s">
        <v>62</v>
      </c>
      <c r="B4" s="7" t="s">
        <v>32</v>
      </c>
      <c r="C4" s="7" t="s">
        <v>63</v>
      </c>
      <c r="D4" s="7" t="s">
        <v>64</v>
      </c>
      <c r="E4" s="7" t="s">
        <v>65</v>
      </c>
      <c r="G4" s="7" t="s">
        <v>66</v>
      </c>
      <c r="H4" s="7" t="s">
        <v>67</v>
      </c>
      <c r="I4" s="7" t="s">
        <v>68</v>
      </c>
      <c r="J4" s="7" t="s">
        <v>69</v>
      </c>
      <c r="K4" s="7" t="s">
        <v>70</v>
      </c>
      <c r="L4" s="7" t="s">
        <v>71</v>
      </c>
      <c r="M4" s="7" t="s">
        <v>72</v>
      </c>
      <c r="N4" s="7" t="s">
        <v>73</v>
      </c>
    </row>
    <row r="5" spans="1:14" x14ac:dyDescent="0.25">
      <c r="A5" s="19" t="s">
        <v>74</v>
      </c>
      <c r="B5" s="20"/>
      <c r="C5" s="20"/>
      <c r="D5" s="20"/>
      <c r="E5" s="20"/>
      <c r="G5" s="21">
        <v>1</v>
      </c>
      <c r="H5" s="8" t="s">
        <v>75</v>
      </c>
      <c r="I5" s="8" t="s">
        <v>76</v>
      </c>
      <c r="J5" s="22">
        <v>0</v>
      </c>
      <c r="K5" s="22"/>
      <c r="L5" s="23">
        <v>0</v>
      </c>
      <c r="M5" s="24">
        <f t="shared" ref="M5:M36" si="0">IF(K5="US",MAX(J5,launch_us),IF(K5="UK",MAX(J5,launch_uk),IF(K5="EU",MAX(J5,launch_eu),J5)))</f>
        <v>0</v>
      </c>
      <c r="N5" s="25">
        <f t="shared" ref="N5:N36" si="1">DATE(start_year,J5,1)</f>
        <v>46357</v>
      </c>
    </row>
    <row r="6" spans="1:14" x14ac:dyDescent="0.25">
      <c r="A6" s="8" t="s">
        <v>77</v>
      </c>
      <c r="B6" s="26">
        <v>2027</v>
      </c>
      <c r="C6" s="21" t="s">
        <v>78</v>
      </c>
      <c r="D6" s="27" t="s">
        <v>79</v>
      </c>
      <c r="E6" s="21" t="s">
        <v>80</v>
      </c>
      <c r="G6" s="21">
        <v>2</v>
      </c>
      <c r="H6" s="8" t="s">
        <v>81</v>
      </c>
      <c r="I6" s="8" t="s">
        <v>76</v>
      </c>
      <c r="J6" s="22">
        <v>0</v>
      </c>
      <c r="K6" s="22"/>
      <c r="L6" s="23">
        <v>0</v>
      </c>
      <c r="M6" s="24">
        <f t="shared" si="0"/>
        <v>0</v>
      </c>
      <c r="N6" s="25">
        <f t="shared" si="1"/>
        <v>46357</v>
      </c>
    </row>
    <row r="7" spans="1:14" x14ac:dyDescent="0.25">
      <c r="A7" s="8" t="s">
        <v>82</v>
      </c>
      <c r="B7" s="28">
        <v>250000</v>
      </c>
      <c r="C7" s="21" t="s">
        <v>83</v>
      </c>
      <c r="D7" s="27" t="s">
        <v>84</v>
      </c>
      <c r="E7" s="21" t="s">
        <v>85</v>
      </c>
      <c r="G7" s="21">
        <v>3</v>
      </c>
      <c r="H7" s="8" t="s">
        <v>81</v>
      </c>
      <c r="I7" s="8" t="s">
        <v>76</v>
      </c>
      <c r="J7" s="22">
        <v>0</v>
      </c>
      <c r="K7" s="22"/>
      <c r="L7" s="23">
        <v>0</v>
      </c>
      <c r="M7" s="24">
        <f t="shared" si="0"/>
        <v>0</v>
      </c>
      <c r="N7" s="25">
        <f t="shared" si="1"/>
        <v>46357</v>
      </c>
    </row>
    <row r="8" spans="1:14" x14ac:dyDescent="0.25">
      <c r="A8" s="8" t="s">
        <v>86</v>
      </c>
      <c r="B8" s="28">
        <v>18918</v>
      </c>
      <c r="C8" s="21" t="s">
        <v>83</v>
      </c>
      <c r="D8" s="27" t="s">
        <v>87</v>
      </c>
      <c r="E8" s="21" t="s">
        <v>88</v>
      </c>
      <c r="G8" s="21">
        <v>4</v>
      </c>
      <c r="H8" s="8" t="s">
        <v>81</v>
      </c>
      <c r="I8" s="8" t="s">
        <v>76</v>
      </c>
      <c r="J8" s="22">
        <v>0</v>
      </c>
      <c r="K8" s="22"/>
      <c r="L8" s="23">
        <v>0</v>
      </c>
      <c r="M8" s="24">
        <f t="shared" si="0"/>
        <v>0</v>
      </c>
      <c r="N8" s="25">
        <f t="shared" si="1"/>
        <v>46357</v>
      </c>
    </row>
    <row r="9" spans="1:14" x14ac:dyDescent="0.25">
      <c r="A9" s="8" t="s">
        <v>89</v>
      </c>
      <c r="B9" s="28">
        <v>0</v>
      </c>
      <c r="C9" s="21" t="s">
        <v>83</v>
      </c>
      <c r="D9" s="27" t="s">
        <v>90</v>
      </c>
      <c r="E9" s="21"/>
      <c r="G9" s="21">
        <v>5</v>
      </c>
      <c r="H9" s="8" t="s">
        <v>91</v>
      </c>
      <c r="I9" s="8" t="s">
        <v>92</v>
      </c>
      <c r="J9" s="22">
        <v>0</v>
      </c>
      <c r="K9" s="22"/>
      <c r="L9" s="23">
        <v>0</v>
      </c>
      <c r="M9" s="24">
        <f t="shared" si="0"/>
        <v>0</v>
      </c>
      <c r="N9" s="25">
        <f t="shared" si="1"/>
        <v>46357</v>
      </c>
    </row>
    <row r="10" spans="1:14" x14ac:dyDescent="0.25">
      <c r="A10" s="8" t="s">
        <v>93</v>
      </c>
      <c r="B10" s="28">
        <v>1000000</v>
      </c>
      <c r="C10" s="21" t="s">
        <v>83</v>
      </c>
      <c r="D10" s="27" t="s">
        <v>94</v>
      </c>
      <c r="E10" s="21" t="s">
        <v>95</v>
      </c>
      <c r="G10" s="21">
        <v>6</v>
      </c>
      <c r="H10" s="8" t="s">
        <v>96</v>
      </c>
      <c r="I10" s="8" t="s">
        <v>97</v>
      </c>
      <c r="J10" s="22">
        <v>0</v>
      </c>
      <c r="K10" s="22"/>
      <c r="L10" s="23">
        <v>0</v>
      </c>
      <c r="M10" s="24">
        <f t="shared" si="0"/>
        <v>0</v>
      </c>
      <c r="N10" s="25">
        <f t="shared" si="1"/>
        <v>46357</v>
      </c>
    </row>
    <row r="11" spans="1:14" x14ac:dyDescent="0.25">
      <c r="A11" s="8" t="s">
        <v>98</v>
      </c>
      <c r="B11" s="28">
        <v>-731082</v>
      </c>
      <c r="C11" s="21" t="s">
        <v>83</v>
      </c>
      <c r="D11" s="27" t="s">
        <v>99</v>
      </c>
      <c r="E11" s="21" t="s">
        <v>100</v>
      </c>
      <c r="G11" s="21">
        <v>7</v>
      </c>
      <c r="H11" s="8" t="s">
        <v>101</v>
      </c>
      <c r="I11" s="8" t="s">
        <v>76</v>
      </c>
      <c r="J11" s="22">
        <v>3</v>
      </c>
      <c r="K11" s="22"/>
      <c r="L11" s="23">
        <v>0</v>
      </c>
      <c r="M11" s="24">
        <f t="shared" si="0"/>
        <v>3</v>
      </c>
      <c r="N11" s="25">
        <f t="shared" si="1"/>
        <v>46447</v>
      </c>
    </row>
    <row r="12" spans="1:14" x14ac:dyDescent="0.25">
      <c r="A12" s="8" t="s">
        <v>102</v>
      </c>
      <c r="B12" s="28">
        <v>1000000</v>
      </c>
      <c r="C12" s="21" t="s">
        <v>83</v>
      </c>
      <c r="D12" s="27" t="s">
        <v>103</v>
      </c>
      <c r="E12" s="21" t="s">
        <v>104</v>
      </c>
      <c r="G12" s="21">
        <v>8</v>
      </c>
      <c r="H12" s="8" t="s">
        <v>105</v>
      </c>
      <c r="I12" s="8" t="s">
        <v>76</v>
      </c>
      <c r="J12" s="22">
        <v>3</v>
      </c>
      <c r="K12" s="22"/>
      <c r="L12" s="23">
        <v>0</v>
      </c>
      <c r="M12" s="24">
        <f t="shared" si="0"/>
        <v>3</v>
      </c>
      <c r="N12" s="25">
        <f t="shared" si="1"/>
        <v>46447</v>
      </c>
    </row>
    <row r="13" spans="1:14" x14ac:dyDescent="0.25">
      <c r="A13" s="8" t="s">
        <v>34</v>
      </c>
      <c r="B13" s="28">
        <v>3500000</v>
      </c>
      <c r="C13" s="21" t="s">
        <v>83</v>
      </c>
      <c r="D13" s="27" t="s">
        <v>106</v>
      </c>
      <c r="E13" s="21" t="s">
        <v>107</v>
      </c>
      <c r="G13" s="21">
        <v>9</v>
      </c>
      <c r="H13" s="8" t="s">
        <v>108</v>
      </c>
      <c r="I13" s="8" t="s">
        <v>109</v>
      </c>
      <c r="J13" s="22">
        <v>4</v>
      </c>
      <c r="K13" s="22" t="s">
        <v>110</v>
      </c>
      <c r="L13" s="23">
        <v>0.5</v>
      </c>
      <c r="M13" s="24">
        <f t="shared" si="0"/>
        <v>4</v>
      </c>
      <c r="N13" s="25">
        <f t="shared" si="1"/>
        <v>46478</v>
      </c>
    </row>
    <row r="14" spans="1:14" x14ac:dyDescent="0.25">
      <c r="A14" s="8" t="s">
        <v>111</v>
      </c>
      <c r="B14" s="26">
        <v>1</v>
      </c>
      <c r="C14" s="21" t="s">
        <v>112</v>
      </c>
      <c r="D14" s="27" t="s">
        <v>113</v>
      </c>
      <c r="E14" s="21" t="s">
        <v>114</v>
      </c>
      <c r="G14" s="21">
        <v>10</v>
      </c>
      <c r="H14" s="8" t="s">
        <v>115</v>
      </c>
      <c r="I14" s="8" t="s">
        <v>109</v>
      </c>
      <c r="J14" s="22">
        <v>6</v>
      </c>
      <c r="K14" s="22" t="s">
        <v>110</v>
      </c>
      <c r="L14" s="23">
        <v>1</v>
      </c>
      <c r="M14" s="24">
        <f t="shared" si="0"/>
        <v>6</v>
      </c>
      <c r="N14" s="25">
        <f t="shared" si="1"/>
        <v>46539</v>
      </c>
    </row>
    <row r="15" spans="1:14" x14ac:dyDescent="0.25">
      <c r="A15" s="8" t="s">
        <v>116</v>
      </c>
      <c r="B15" s="28">
        <v>10000000</v>
      </c>
      <c r="C15" s="21" t="s">
        <v>83</v>
      </c>
      <c r="D15" s="27" t="s">
        <v>117</v>
      </c>
      <c r="E15" s="21" t="s">
        <v>118</v>
      </c>
      <c r="G15" s="21">
        <v>11</v>
      </c>
      <c r="H15" s="8" t="s">
        <v>119</v>
      </c>
      <c r="I15" s="8" t="s">
        <v>92</v>
      </c>
      <c r="J15" s="22">
        <v>6</v>
      </c>
      <c r="K15" s="22"/>
      <c r="L15" s="23">
        <v>0</v>
      </c>
      <c r="M15" s="24">
        <f t="shared" si="0"/>
        <v>6</v>
      </c>
      <c r="N15" s="25">
        <f t="shared" si="1"/>
        <v>46539</v>
      </c>
    </row>
    <row r="16" spans="1:14" x14ac:dyDescent="0.25">
      <c r="A16" s="8" t="s">
        <v>120</v>
      </c>
      <c r="B16" s="26">
        <v>21</v>
      </c>
      <c r="C16" s="21" t="s">
        <v>112</v>
      </c>
      <c r="D16" s="27" t="s">
        <v>121</v>
      </c>
      <c r="E16" s="21" t="s">
        <v>122</v>
      </c>
      <c r="G16" s="21">
        <v>12</v>
      </c>
      <c r="H16" s="8" t="s">
        <v>123</v>
      </c>
      <c r="I16" s="8" t="s">
        <v>76</v>
      </c>
      <c r="J16" s="22">
        <v>8</v>
      </c>
      <c r="K16" s="22"/>
      <c r="L16" s="23">
        <v>0</v>
      </c>
      <c r="M16" s="24">
        <f t="shared" si="0"/>
        <v>8</v>
      </c>
      <c r="N16" s="25">
        <f t="shared" si="1"/>
        <v>46600</v>
      </c>
    </row>
    <row r="17" spans="1:14" x14ac:dyDescent="0.25">
      <c r="A17" s="8" t="s">
        <v>124</v>
      </c>
      <c r="B17" s="26">
        <v>1</v>
      </c>
      <c r="C17" s="21" t="s">
        <v>125</v>
      </c>
      <c r="D17" s="27" t="s">
        <v>126</v>
      </c>
      <c r="E17" s="21" t="s">
        <v>127</v>
      </c>
      <c r="G17" s="21">
        <v>13</v>
      </c>
      <c r="H17" s="8" t="s">
        <v>115</v>
      </c>
      <c r="I17" s="8" t="s">
        <v>109</v>
      </c>
      <c r="J17" s="22">
        <v>9</v>
      </c>
      <c r="K17" s="22" t="s">
        <v>110</v>
      </c>
      <c r="L17" s="23">
        <v>1</v>
      </c>
      <c r="M17" s="24">
        <f t="shared" si="0"/>
        <v>9</v>
      </c>
      <c r="N17" s="25">
        <f t="shared" si="1"/>
        <v>46631</v>
      </c>
    </row>
    <row r="18" spans="1:14" x14ac:dyDescent="0.25">
      <c r="A18" s="8" t="s">
        <v>128</v>
      </c>
      <c r="B18" s="29">
        <v>0</v>
      </c>
      <c r="C18" s="21" t="s">
        <v>129</v>
      </c>
      <c r="D18" s="27" t="s">
        <v>130</v>
      </c>
      <c r="E18" s="21" t="s">
        <v>131</v>
      </c>
      <c r="G18" s="21">
        <v>14</v>
      </c>
      <c r="H18" s="8" t="s">
        <v>132</v>
      </c>
      <c r="I18" s="8" t="s">
        <v>97</v>
      </c>
      <c r="J18" s="22">
        <v>9</v>
      </c>
      <c r="K18" s="22"/>
      <c r="L18" s="23">
        <v>0</v>
      </c>
      <c r="M18" s="24">
        <f t="shared" si="0"/>
        <v>9</v>
      </c>
      <c r="N18" s="25">
        <f t="shared" si="1"/>
        <v>46631</v>
      </c>
    </row>
    <row r="19" spans="1:14" x14ac:dyDescent="0.25">
      <c r="A19" s="19" t="s">
        <v>133</v>
      </c>
      <c r="B19" s="20"/>
      <c r="C19" s="20"/>
      <c r="D19" s="20"/>
      <c r="E19" s="20"/>
      <c r="G19" s="21">
        <v>15</v>
      </c>
      <c r="H19" s="8" t="s">
        <v>134</v>
      </c>
      <c r="I19" s="8" t="s">
        <v>92</v>
      </c>
      <c r="J19" s="22">
        <v>11</v>
      </c>
      <c r="K19" s="22"/>
      <c r="L19" s="23">
        <v>0</v>
      </c>
      <c r="M19" s="24">
        <f t="shared" si="0"/>
        <v>11</v>
      </c>
      <c r="N19" s="25">
        <f t="shared" si="1"/>
        <v>46692</v>
      </c>
    </row>
    <row r="20" spans="1:14" x14ac:dyDescent="0.25">
      <c r="A20" s="8" t="s">
        <v>135</v>
      </c>
      <c r="B20" s="30">
        <v>11</v>
      </c>
      <c r="C20" s="21" t="s">
        <v>136</v>
      </c>
      <c r="D20" s="27" t="s">
        <v>137</v>
      </c>
      <c r="E20" s="21" t="s">
        <v>138</v>
      </c>
      <c r="G20" s="21">
        <v>16</v>
      </c>
      <c r="H20" s="8" t="s">
        <v>81</v>
      </c>
      <c r="I20" s="8" t="s">
        <v>76</v>
      </c>
      <c r="J20" s="22">
        <v>13</v>
      </c>
      <c r="K20" s="22"/>
      <c r="L20" s="23">
        <v>0</v>
      </c>
      <c r="M20" s="24">
        <f t="shared" si="0"/>
        <v>13</v>
      </c>
      <c r="N20" s="25">
        <f t="shared" si="1"/>
        <v>46753</v>
      </c>
    </row>
    <row r="21" spans="1:14" x14ac:dyDescent="0.25">
      <c r="A21" s="8" t="s">
        <v>139</v>
      </c>
      <c r="B21" s="30">
        <v>979</v>
      </c>
      <c r="C21" s="21" t="s">
        <v>140</v>
      </c>
      <c r="D21" s="27" t="s">
        <v>141</v>
      </c>
      <c r="E21" s="21" t="s">
        <v>142</v>
      </c>
      <c r="G21" s="21">
        <v>17</v>
      </c>
      <c r="H21" s="8" t="s">
        <v>115</v>
      </c>
      <c r="I21" s="8" t="s">
        <v>109</v>
      </c>
      <c r="J21" s="22">
        <v>13</v>
      </c>
      <c r="K21" s="22" t="s">
        <v>110</v>
      </c>
      <c r="L21" s="23">
        <v>1</v>
      </c>
      <c r="M21" s="24">
        <f t="shared" si="0"/>
        <v>13</v>
      </c>
      <c r="N21" s="25">
        <f t="shared" si="1"/>
        <v>46753</v>
      </c>
    </row>
    <row r="22" spans="1:14" x14ac:dyDescent="0.25">
      <c r="A22" s="19" t="s">
        <v>143</v>
      </c>
      <c r="B22" s="20"/>
      <c r="C22" s="20"/>
      <c r="D22" s="20"/>
      <c r="E22" s="20"/>
      <c r="G22" s="21">
        <v>18</v>
      </c>
      <c r="H22" s="8" t="s">
        <v>144</v>
      </c>
      <c r="I22" s="8" t="s">
        <v>145</v>
      </c>
      <c r="J22" s="22">
        <v>14</v>
      </c>
      <c r="K22" s="22"/>
      <c r="L22" s="23">
        <v>0</v>
      </c>
      <c r="M22" s="24">
        <f t="shared" si="0"/>
        <v>14</v>
      </c>
      <c r="N22" s="25">
        <f t="shared" si="1"/>
        <v>46784</v>
      </c>
    </row>
    <row r="23" spans="1:14" x14ac:dyDescent="0.25">
      <c r="A23" s="8" t="s">
        <v>146</v>
      </c>
      <c r="B23" s="29">
        <v>0.01</v>
      </c>
      <c r="C23" s="21" t="s">
        <v>129</v>
      </c>
      <c r="D23" s="27" t="s">
        <v>147</v>
      </c>
      <c r="E23" s="21" t="s">
        <v>148</v>
      </c>
      <c r="G23" s="21">
        <v>19</v>
      </c>
      <c r="H23" s="8" t="s">
        <v>115</v>
      </c>
      <c r="I23" s="8" t="s">
        <v>109</v>
      </c>
      <c r="J23" s="22">
        <v>15</v>
      </c>
      <c r="K23" s="22" t="s">
        <v>110</v>
      </c>
      <c r="L23" s="23">
        <v>1</v>
      </c>
      <c r="M23" s="24">
        <f t="shared" si="0"/>
        <v>15</v>
      </c>
      <c r="N23" s="25">
        <f t="shared" si="1"/>
        <v>46813</v>
      </c>
    </row>
    <row r="24" spans="1:14" x14ac:dyDescent="0.25">
      <c r="A24" s="8" t="s">
        <v>149</v>
      </c>
      <c r="B24" s="29">
        <v>6.0000000000000001E-3</v>
      </c>
      <c r="C24" s="21" t="s">
        <v>129</v>
      </c>
      <c r="D24" s="27" t="s">
        <v>150</v>
      </c>
      <c r="E24" s="21"/>
      <c r="G24" s="21">
        <v>20</v>
      </c>
      <c r="H24" s="8" t="s">
        <v>151</v>
      </c>
      <c r="I24" s="8" t="s">
        <v>109</v>
      </c>
      <c r="J24" s="22">
        <v>16</v>
      </c>
      <c r="K24" s="22" t="s">
        <v>152</v>
      </c>
      <c r="L24" s="23">
        <v>1</v>
      </c>
      <c r="M24" s="24">
        <f t="shared" si="0"/>
        <v>25</v>
      </c>
      <c r="N24" s="25">
        <f t="shared" si="1"/>
        <v>46844</v>
      </c>
    </row>
    <row r="25" spans="1:14" x14ac:dyDescent="0.25">
      <c r="A25" s="8" t="s">
        <v>153</v>
      </c>
      <c r="B25" s="30">
        <v>85</v>
      </c>
      <c r="C25" s="21" t="s">
        <v>140</v>
      </c>
      <c r="D25" s="27" t="s">
        <v>154</v>
      </c>
      <c r="E25" s="21" t="s">
        <v>155</v>
      </c>
      <c r="G25" s="21">
        <v>21</v>
      </c>
      <c r="H25" s="8" t="s">
        <v>156</v>
      </c>
      <c r="I25" s="8" t="s">
        <v>92</v>
      </c>
      <c r="J25" s="22">
        <v>17</v>
      </c>
      <c r="K25" s="22"/>
      <c r="L25" s="23">
        <v>0</v>
      </c>
      <c r="M25" s="24">
        <f t="shared" si="0"/>
        <v>17</v>
      </c>
      <c r="N25" s="25">
        <f t="shared" si="1"/>
        <v>46874</v>
      </c>
    </row>
    <row r="26" spans="1:14" x14ac:dyDescent="0.25">
      <c r="A26" s="19" t="s">
        <v>157</v>
      </c>
      <c r="B26" s="20"/>
      <c r="C26" s="20"/>
      <c r="D26" s="20"/>
      <c r="E26" s="20"/>
      <c r="G26" s="21">
        <v>22</v>
      </c>
      <c r="H26" s="8" t="s">
        <v>81</v>
      </c>
      <c r="I26" s="8" t="s">
        <v>76</v>
      </c>
      <c r="J26" s="22">
        <v>18</v>
      </c>
      <c r="K26" s="22"/>
      <c r="L26" s="23">
        <v>0</v>
      </c>
      <c r="M26" s="24">
        <f t="shared" si="0"/>
        <v>18</v>
      </c>
      <c r="N26" s="25">
        <f t="shared" si="1"/>
        <v>46905</v>
      </c>
    </row>
    <row r="27" spans="1:14" x14ac:dyDescent="0.25">
      <c r="A27" s="8" t="s">
        <v>158</v>
      </c>
      <c r="B27" s="23">
        <v>2</v>
      </c>
      <c r="C27" s="21" t="s">
        <v>136</v>
      </c>
      <c r="D27" s="27" t="s">
        <v>159</v>
      </c>
      <c r="E27" s="21" t="s">
        <v>160</v>
      </c>
      <c r="G27" s="21">
        <v>23</v>
      </c>
      <c r="H27" s="8" t="s">
        <v>81</v>
      </c>
      <c r="I27" s="8" t="s">
        <v>76</v>
      </c>
      <c r="J27" s="22">
        <v>21</v>
      </c>
      <c r="K27" s="22"/>
      <c r="L27" s="23">
        <v>0</v>
      </c>
      <c r="M27" s="24">
        <f t="shared" si="0"/>
        <v>21</v>
      </c>
      <c r="N27" s="25">
        <f t="shared" si="1"/>
        <v>46997</v>
      </c>
    </row>
    <row r="28" spans="1:14" x14ac:dyDescent="0.25">
      <c r="A28" s="8" t="s">
        <v>161</v>
      </c>
      <c r="B28" s="26">
        <v>4</v>
      </c>
      <c r="C28" s="21" t="s">
        <v>162</v>
      </c>
      <c r="D28" s="27" t="s">
        <v>163</v>
      </c>
      <c r="E28" s="21" t="s">
        <v>164</v>
      </c>
      <c r="G28" s="21">
        <v>24</v>
      </c>
      <c r="H28" s="8" t="s">
        <v>115</v>
      </c>
      <c r="I28" s="8" t="s">
        <v>109</v>
      </c>
      <c r="J28" s="22">
        <v>21</v>
      </c>
      <c r="K28" s="22" t="s">
        <v>110</v>
      </c>
      <c r="L28" s="23">
        <v>1</v>
      </c>
      <c r="M28" s="24">
        <f t="shared" si="0"/>
        <v>21</v>
      </c>
      <c r="N28" s="25">
        <f t="shared" si="1"/>
        <v>46997</v>
      </c>
    </row>
    <row r="29" spans="1:14" x14ac:dyDescent="0.25">
      <c r="A29" s="8" t="s">
        <v>165</v>
      </c>
      <c r="B29" s="26">
        <v>1</v>
      </c>
      <c r="C29" s="21" t="s">
        <v>112</v>
      </c>
      <c r="D29" s="27" t="s">
        <v>166</v>
      </c>
      <c r="E29" s="21" t="s">
        <v>114</v>
      </c>
      <c r="G29" s="21">
        <v>25</v>
      </c>
      <c r="H29" s="8" t="s">
        <v>167</v>
      </c>
      <c r="I29" s="8" t="s">
        <v>145</v>
      </c>
      <c r="J29" s="22">
        <v>21</v>
      </c>
      <c r="K29" s="22"/>
      <c r="L29" s="23">
        <v>0</v>
      </c>
      <c r="M29" s="24">
        <f t="shared" si="0"/>
        <v>21</v>
      </c>
      <c r="N29" s="25">
        <f t="shared" si="1"/>
        <v>46997</v>
      </c>
    </row>
    <row r="30" spans="1:14" x14ac:dyDescent="0.25">
      <c r="A30" s="8" t="s">
        <v>168</v>
      </c>
      <c r="B30" s="26">
        <v>25</v>
      </c>
      <c r="C30" s="21" t="s">
        <v>112</v>
      </c>
      <c r="D30" s="27" t="s">
        <v>169</v>
      </c>
      <c r="E30" s="21" t="s">
        <v>170</v>
      </c>
      <c r="G30" s="21">
        <v>26</v>
      </c>
      <c r="H30" s="8" t="s">
        <v>171</v>
      </c>
      <c r="I30" s="8" t="s">
        <v>97</v>
      </c>
      <c r="J30" s="22">
        <v>21</v>
      </c>
      <c r="K30" s="22"/>
      <c r="L30" s="23">
        <v>0</v>
      </c>
      <c r="M30" s="24">
        <f t="shared" si="0"/>
        <v>21</v>
      </c>
      <c r="N30" s="25">
        <f t="shared" si="1"/>
        <v>46997</v>
      </c>
    </row>
    <row r="31" spans="1:14" x14ac:dyDescent="0.25">
      <c r="A31" s="8" t="s">
        <v>172</v>
      </c>
      <c r="B31" s="26">
        <v>37</v>
      </c>
      <c r="C31" s="21" t="s">
        <v>112</v>
      </c>
      <c r="D31" s="27" t="s">
        <v>173</v>
      </c>
      <c r="E31" s="21" t="s">
        <v>174</v>
      </c>
      <c r="G31" s="21">
        <v>27</v>
      </c>
      <c r="H31" s="8" t="s">
        <v>81</v>
      </c>
      <c r="I31" s="8" t="s">
        <v>76</v>
      </c>
      <c r="J31" s="22">
        <v>22</v>
      </c>
      <c r="K31" s="22"/>
      <c r="L31" s="23">
        <v>0</v>
      </c>
      <c r="M31" s="24">
        <f t="shared" si="0"/>
        <v>22</v>
      </c>
      <c r="N31" s="25">
        <f t="shared" si="1"/>
        <v>47027</v>
      </c>
    </row>
    <row r="32" spans="1:14" x14ac:dyDescent="0.25">
      <c r="A32" s="8" t="s">
        <v>175</v>
      </c>
      <c r="B32" s="23">
        <v>3</v>
      </c>
      <c r="C32" s="21" t="s">
        <v>136</v>
      </c>
      <c r="D32" s="27" t="s">
        <v>176</v>
      </c>
      <c r="E32" s="21" t="s">
        <v>177</v>
      </c>
      <c r="G32" s="21">
        <v>28</v>
      </c>
      <c r="H32" s="8" t="s">
        <v>178</v>
      </c>
      <c r="I32" s="8" t="s">
        <v>109</v>
      </c>
      <c r="J32" s="22">
        <v>22</v>
      </c>
      <c r="K32" s="22"/>
      <c r="L32" s="23">
        <v>0</v>
      </c>
      <c r="M32" s="24">
        <f t="shared" si="0"/>
        <v>22</v>
      </c>
      <c r="N32" s="25">
        <f t="shared" si="1"/>
        <v>47027</v>
      </c>
    </row>
    <row r="33" spans="1:14" x14ac:dyDescent="0.25">
      <c r="A33" s="8" t="s">
        <v>179</v>
      </c>
      <c r="B33" s="26">
        <v>6</v>
      </c>
      <c r="C33" s="21" t="s">
        <v>112</v>
      </c>
      <c r="D33" s="27" t="s">
        <v>180</v>
      </c>
      <c r="E33" s="21"/>
      <c r="G33" s="21">
        <v>29</v>
      </c>
      <c r="H33" s="8" t="s">
        <v>181</v>
      </c>
      <c r="I33" s="8" t="s">
        <v>92</v>
      </c>
      <c r="J33" s="22">
        <v>22</v>
      </c>
      <c r="K33" s="22"/>
      <c r="L33" s="23">
        <v>0</v>
      </c>
      <c r="M33" s="24">
        <f t="shared" si="0"/>
        <v>22</v>
      </c>
      <c r="N33" s="25">
        <f t="shared" si="1"/>
        <v>47027</v>
      </c>
    </row>
    <row r="34" spans="1:14" x14ac:dyDescent="0.25">
      <c r="A34" s="8" t="s">
        <v>182</v>
      </c>
      <c r="B34" s="23">
        <v>2</v>
      </c>
      <c r="C34" s="21" t="s">
        <v>136</v>
      </c>
      <c r="D34" s="27" t="s">
        <v>183</v>
      </c>
      <c r="E34" s="21" t="s">
        <v>184</v>
      </c>
      <c r="G34" s="21">
        <v>30</v>
      </c>
      <c r="H34" s="8" t="s">
        <v>81</v>
      </c>
      <c r="I34" s="8" t="s">
        <v>76</v>
      </c>
      <c r="J34" s="22">
        <v>26</v>
      </c>
      <c r="K34" s="22"/>
      <c r="L34" s="23">
        <v>0</v>
      </c>
      <c r="M34" s="24">
        <f t="shared" si="0"/>
        <v>26</v>
      </c>
      <c r="N34" s="25">
        <f t="shared" si="1"/>
        <v>47150</v>
      </c>
    </row>
    <row r="35" spans="1:14" x14ac:dyDescent="0.25">
      <c r="A35" s="8" t="s">
        <v>185</v>
      </c>
      <c r="B35" s="26">
        <v>12</v>
      </c>
      <c r="C35" s="21" t="s">
        <v>112</v>
      </c>
      <c r="D35" s="27" t="s">
        <v>186</v>
      </c>
      <c r="E35" s="21"/>
      <c r="G35" s="21">
        <v>31</v>
      </c>
      <c r="H35" s="8" t="s">
        <v>115</v>
      </c>
      <c r="I35" s="8" t="s">
        <v>109</v>
      </c>
      <c r="J35" s="22">
        <v>26</v>
      </c>
      <c r="K35" s="22" t="s">
        <v>110</v>
      </c>
      <c r="L35" s="23">
        <v>1</v>
      </c>
      <c r="M35" s="24">
        <f t="shared" si="0"/>
        <v>26</v>
      </c>
      <c r="N35" s="25">
        <f t="shared" si="1"/>
        <v>47150</v>
      </c>
    </row>
    <row r="36" spans="1:14" x14ac:dyDescent="0.25">
      <c r="A36" s="8" t="s">
        <v>187</v>
      </c>
      <c r="B36" s="23">
        <v>1</v>
      </c>
      <c r="C36" s="21" t="s">
        <v>136</v>
      </c>
      <c r="D36" s="27" t="s">
        <v>188</v>
      </c>
      <c r="E36" s="21" t="s">
        <v>189</v>
      </c>
      <c r="G36" s="21">
        <v>32</v>
      </c>
      <c r="H36" s="8" t="s">
        <v>190</v>
      </c>
      <c r="I36" s="8" t="s">
        <v>92</v>
      </c>
      <c r="J36" s="22">
        <v>27</v>
      </c>
      <c r="K36" s="22"/>
      <c r="L36" s="23">
        <v>0</v>
      </c>
      <c r="M36" s="24">
        <f t="shared" si="0"/>
        <v>27</v>
      </c>
      <c r="N36" s="25">
        <f t="shared" si="1"/>
        <v>47178</v>
      </c>
    </row>
    <row r="37" spans="1:14" x14ac:dyDescent="0.25">
      <c r="A37" s="8" t="s">
        <v>191</v>
      </c>
      <c r="B37" s="26">
        <v>18</v>
      </c>
      <c r="C37" s="21" t="s">
        <v>112</v>
      </c>
      <c r="D37" s="27" t="s">
        <v>192</v>
      </c>
      <c r="E37" s="21"/>
      <c r="G37" s="21">
        <v>33</v>
      </c>
      <c r="H37" s="8" t="s">
        <v>81</v>
      </c>
      <c r="I37" s="8" t="s">
        <v>76</v>
      </c>
      <c r="J37" s="22">
        <v>28</v>
      </c>
      <c r="K37" s="22"/>
      <c r="L37" s="23">
        <v>0</v>
      </c>
      <c r="M37" s="24">
        <f t="shared" ref="M37:M68" si="2">IF(K37="US",MAX(J37,launch_us),IF(K37="UK",MAX(J37,launch_uk),IF(K37="EU",MAX(J37,launch_eu),J37)))</f>
        <v>28</v>
      </c>
      <c r="N37" s="25">
        <f t="shared" ref="N37:N68" si="3">DATE(start_year,J37,1)</f>
        <v>47209</v>
      </c>
    </row>
    <row r="38" spans="1:14" x14ac:dyDescent="0.25">
      <c r="A38" s="8" t="s">
        <v>193</v>
      </c>
      <c r="B38" s="31">
        <v>1</v>
      </c>
      <c r="C38" s="21" t="s">
        <v>136</v>
      </c>
      <c r="D38" s="27" t="s">
        <v>194</v>
      </c>
      <c r="E38" s="21" t="s">
        <v>195</v>
      </c>
      <c r="G38" s="21">
        <v>34</v>
      </c>
      <c r="H38" s="8" t="s">
        <v>115</v>
      </c>
      <c r="I38" s="8" t="s">
        <v>109</v>
      </c>
      <c r="J38" s="22">
        <v>28</v>
      </c>
      <c r="K38" s="22" t="s">
        <v>110</v>
      </c>
      <c r="L38" s="23">
        <v>1</v>
      </c>
      <c r="M38" s="24">
        <f t="shared" si="2"/>
        <v>28</v>
      </c>
      <c r="N38" s="25">
        <f t="shared" si="3"/>
        <v>47209</v>
      </c>
    </row>
    <row r="39" spans="1:14" x14ac:dyDescent="0.25">
      <c r="A39" s="8" t="s">
        <v>196</v>
      </c>
      <c r="B39" s="31">
        <v>0.05</v>
      </c>
      <c r="C39" s="21" t="s">
        <v>136</v>
      </c>
      <c r="D39" s="27" t="s">
        <v>197</v>
      </c>
      <c r="E39" s="21"/>
      <c r="G39" s="21">
        <v>35</v>
      </c>
      <c r="H39" s="8" t="s">
        <v>198</v>
      </c>
      <c r="I39" s="8" t="s">
        <v>97</v>
      </c>
      <c r="J39" s="22">
        <v>28</v>
      </c>
      <c r="K39" s="22"/>
      <c r="L39" s="23">
        <v>0</v>
      </c>
      <c r="M39" s="24">
        <f t="shared" si="2"/>
        <v>28</v>
      </c>
      <c r="N39" s="25">
        <f t="shared" si="3"/>
        <v>47209</v>
      </c>
    </row>
    <row r="40" spans="1:14" x14ac:dyDescent="0.25">
      <c r="A40" s="8" t="s">
        <v>199</v>
      </c>
      <c r="B40" s="26">
        <v>13</v>
      </c>
      <c r="C40" s="21" t="s">
        <v>112</v>
      </c>
      <c r="D40" s="27" t="s">
        <v>200</v>
      </c>
      <c r="E40" s="21" t="s">
        <v>201</v>
      </c>
      <c r="G40" s="21">
        <v>36</v>
      </c>
      <c r="H40" s="8" t="s">
        <v>81</v>
      </c>
      <c r="I40" s="8" t="s">
        <v>76</v>
      </c>
      <c r="J40" s="22">
        <v>30</v>
      </c>
      <c r="K40" s="22"/>
      <c r="L40" s="23">
        <v>0</v>
      </c>
      <c r="M40" s="24">
        <f t="shared" si="2"/>
        <v>30</v>
      </c>
      <c r="N40" s="25">
        <f t="shared" si="3"/>
        <v>47270</v>
      </c>
    </row>
    <row r="41" spans="1:14" x14ac:dyDescent="0.25">
      <c r="A41" s="8" t="s">
        <v>202</v>
      </c>
      <c r="B41" s="31">
        <v>1</v>
      </c>
      <c r="C41" s="21" t="s">
        <v>136</v>
      </c>
      <c r="D41" s="27" t="s">
        <v>203</v>
      </c>
      <c r="E41" s="21"/>
      <c r="G41" s="21">
        <v>37</v>
      </c>
      <c r="H41" s="8" t="s">
        <v>115</v>
      </c>
      <c r="I41" s="8" t="s">
        <v>109</v>
      </c>
      <c r="J41" s="22">
        <v>30</v>
      </c>
      <c r="K41" s="22" t="s">
        <v>110</v>
      </c>
      <c r="L41" s="23">
        <v>1</v>
      </c>
      <c r="M41" s="24">
        <f t="shared" si="2"/>
        <v>30</v>
      </c>
      <c r="N41" s="25">
        <f t="shared" si="3"/>
        <v>47270</v>
      </c>
    </row>
    <row r="42" spans="1:14" x14ac:dyDescent="0.25">
      <c r="A42" s="8" t="s">
        <v>204</v>
      </c>
      <c r="B42" s="31">
        <v>0.2</v>
      </c>
      <c r="C42" s="21" t="s">
        <v>136</v>
      </c>
      <c r="D42" s="27" t="s">
        <v>205</v>
      </c>
      <c r="E42" s="21" t="s">
        <v>206</v>
      </c>
      <c r="G42" s="21">
        <v>38</v>
      </c>
      <c r="H42" s="8" t="s">
        <v>207</v>
      </c>
      <c r="I42" s="8" t="s">
        <v>145</v>
      </c>
      <c r="J42" s="22">
        <v>30</v>
      </c>
      <c r="K42" s="22"/>
      <c r="L42" s="23">
        <v>0</v>
      </c>
      <c r="M42" s="24">
        <f t="shared" si="2"/>
        <v>30</v>
      </c>
      <c r="N42" s="25">
        <f t="shared" si="3"/>
        <v>47270</v>
      </c>
    </row>
    <row r="43" spans="1:14" x14ac:dyDescent="0.25">
      <c r="A43" s="19" t="s">
        <v>208</v>
      </c>
      <c r="B43" s="20"/>
      <c r="C43" s="20"/>
      <c r="D43" s="20"/>
      <c r="E43" s="20"/>
      <c r="G43" s="21">
        <v>39</v>
      </c>
      <c r="H43" s="8" t="s">
        <v>190</v>
      </c>
      <c r="I43" s="8" t="s">
        <v>92</v>
      </c>
      <c r="J43" s="22">
        <v>30</v>
      </c>
      <c r="K43" s="22"/>
      <c r="L43" s="23">
        <v>0</v>
      </c>
      <c r="M43" s="24">
        <f t="shared" si="2"/>
        <v>30</v>
      </c>
      <c r="N43" s="25">
        <f t="shared" si="3"/>
        <v>47270</v>
      </c>
    </row>
    <row r="44" spans="1:14" x14ac:dyDescent="0.25">
      <c r="A44" s="8" t="s">
        <v>209</v>
      </c>
      <c r="B44" s="32">
        <v>12</v>
      </c>
      <c r="C44" s="21" t="s">
        <v>83</v>
      </c>
      <c r="D44" s="27" t="s">
        <v>210</v>
      </c>
      <c r="E44" s="21"/>
      <c r="G44" s="21">
        <v>40</v>
      </c>
      <c r="H44" s="8" t="s">
        <v>81</v>
      </c>
      <c r="I44" s="8" t="s">
        <v>76</v>
      </c>
      <c r="J44" s="22">
        <v>31</v>
      </c>
      <c r="K44" s="22"/>
      <c r="L44" s="23">
        <v>0</v>
      </c>
      <c r="M44" s="24">
        <f t="shared" si="2"/>
        <v>31</v>
      </c>
      <c r="N44" s="25">
        <f t="shared" si="3"/>
        <v>47300</v>
      </c>
    </row>
    <row r="45" spans="1:14" x14ac:dyDescent="0.25">
      <c r="A45" s="8" t="s">
        <v>211</v>
      </c>
      <c r="B45" s="29">
        <v>0.04</v>
      </c>
      <c r="C45" s="21" t="s">
        <v>129</v>
      </c>
      <c r="D45" s="27" t="s">
        <v>212</v>
      </c>
      <c r="E45" s="21" t="s">
        <v>213</v>
      </c>
      <c r="G45" s="21">
        <v>41</v>
      </c>
      <c r="H45" s="8" t="s">
        <v>214</v>
      </c>
      <c r="I45" s="8" t="s">
        <v>109</v>
      </c>
      <c r="J45" s="22">
        <v>32</v>
      </c>
      <c r="K45" s="22" t="s">
        <v>152</v>
      </c>
      <c r="L45" s="23">
        <v>1</v>
      </c>
      <c r="M45" s="24">
        <f t="shared" si="2"/>
        <v>32</v>
      </c>
      <c r="N45" s="25">
        <f t="shared" si="3"/>
        <v>47331</v>
      </c>
    </row>
    <row r="46" spans="1:14" x14ac:dyDescent="0.25">
      <c r="A46" s="8" t="s">
        <v>215</v>
      </c>
      <c r="B46" s="32">
        <v>8</v>
      </c>
      <c r="C46" s="21" t="s">
        <v>83</v>
      </c>
      <c r="D46" s="27" t="s">
        <v>216</v>
      </c>
      <c r="E46" s="21"/>
      <c r="G46" s="21">
        <v>42</v>
      </c>
      <c r="H46" s="8" t="s">
        <v>198</v>
      </c>
      <c r="I46" s="8" t="s">
        <v>97</v>
      </c>
      <c r="J46" s="22">
        <v>32</v>
      </c>
      <c r="K46" s="22"/>
      <c r="L46" s="23">
        <v>0</v>
      </c>
      <c r="M46" s="24">
        <f t="shared" si="2"/>
        <v>32</v>
      </c>
      <c r="N46" s="25">
        <f t="shared" si="3"/>
        <v>47331</v>
      </c>
    </row>
    <row r="47" spans="1:14" x14ac:dyDescent="0.25">
      <c r="A47" s="8" t="s">
        <v>217</v>
      </c>
      <c r="B47" s="29">
        <v>0.03</v>
      </c>
      <c r="C47" s="21" t="s">
        <v>129</v>
      </c>
      <c r="D47" s="27" t="s">
        <v>218</v>
      </c>
      <c r="E47" s="21" t="s">
        <v>219</v>
      </c>
      <c r="G47" s="21">
        <v>43</v>
      </c>
      <c r="H47" s="8" t="s">
        <v>81</v>
      </c>
      <c r="I47" s="8" t="s">
        <v>76</v>
      </c>
      <c r="J47" s="22">
        <v>33</v>
      </c>
      <c r="K47" s="22"/>
      <c r="L47" s="23">
        <v>0</v>
      </c>
      <c r="M47" s="24">
        <f t="shared" si="2"/>
        <v>33</v>
      </c>
      <c r="N47" s="25">
        <f t="shared" si="3"/>
        <v>47362</v>
      </c>
    </row>
    <row r="48" spans="1:14" x14ac:dyDescent="0.25">
      <c r="A48" s="8" t="s">
        <v>220</v>
      </c>
      <c r="B48" s="26">
        <v>16</v>
      </c>
      <c r="C48" s="21" t="s">
        <v>221</v>
      </c>
      <c r="D48" s="27" t="s">
        <v>222</v>
      </c>
      <c r="E48" s="21"/>
      <c r="G48" s="21">
        <v>44</v>
      </c>
      <c r="H48" s="8" t="s">
        <v>190</v>
      </c>
      <c r="I48" s="8" t="s">
        <v>92</v>
      </c>
      <c r="J48" s="22">
        <v>33</v>
      </c>
      <c r="K48" s="22"/>
      <c r="L48" s="23">
        <v>0</v>
      </c>
      <c r="M48" s="24">
        <f t="shared" si="2"/>
        <v>33</v>
      </c>
      <c r="N48" s="25">
        <f t="shared" si="3"/>
        <v>47362</v>
      </c>
    </row>
    <row r="49" spans="1:14" x14ac:dyDescent="0.25">
      <c r="A49" s="8" t="s">
        <v>223</v>
      </c>
      <c r="B49" s="29">
        <v>7.0000000000000007E-2</v>
      </c>
      <c r="C49" s="21" t="s">
        <v>129</v>
      </c>
      <c r="D49" s="27" t="s">
        <v>224</v>
      </c>
      <c r="E49" s="21"/>
      <c r="G49" s="21">
        <v>45</v>
      </c>
      <c r="H49" s="8" t="s">
        <v>214</v>
      </c>
      <c r="I49" s="8" t="s">
        <v>109</v>
      </c>
      <c r="J49" s="22">
        <v>34</v>
      </c>
      <c r="K49" s="22" t="s">
        <v>152</v>
      </c>
      <c r="L49" s="23">
        <v>1</v>
      </c>
      <c r="M49" s="24">
        <f t="shared" si="2"/>
        <v>34</v>
      </c>
      <c r="N49" s="25">
        <f t="shared" si="3"/>
        <v>47392</v>
      </c>
    </row>
    <row r="50" spans="1:14" x14ac:dyDescent="0.25">
      <c r="A50" s="8" t="s">
        <v>225</v>
      </c>
      <c r="B50" s="29">
        <v>0.65</v>
      </c>
      <c r="C50" s="21" t="s">
        <v>129</v>
      </c>
      <c r="D50" s="27" t="s">
        <v>226</v>
      </c>
      <c r="E50" s="21" t="s">
        <v>227</v>
      </c>
      <c r="G50" s="21">
        <v>46</v>
      </c>
      <c r="H50" s="8" t="s">
        <v>81</v>
      </c>
      <c r="I50" s="8" t="s">
        <v>76</v>
      </c>
      <c r="J50" s="22">
        <v>35</v>
      </c>
      <c r="K50" s="22"/>
      <c r="L50" s="23">
        <v>0</v>
      </c>
      <c r="M50" s="24">
        <f t="shared" si="2"/>
        <v>35</v>
      </c>
      <c r="N50" s="25">
        <f t="shared" si="3"/>
        <v>47423</v>
      </c>
    </row>
    <row r="51" spans="1:14" x14ac:dyDescent="0.25">
      <c r="A51" s="8" t="s">
        <v>228</v>
      </c>
      <c r="B51" s="29">
        <v>2.5000000000000001E-2</v>
      </c>
      <c r="C51" s="21" t="s">
        <v>129</v>
      </c>
      <c r="D51" s="27" t="s">
        <v>229</v>
      </c>
      <c r="E51" s="21"/>
      <c r="G51" s="21">
        <v>47</v>
      </c>
      <c r="H51" s="8" t="s">
        <v>81</v>
      </c>
      <c r="I51" s="8" t="s">
        <v>76</v>
      </c>
      <c r="J51" s="22">
        <v>36</v>
      </c>
      <c r="K51" s="22"/>
      <c r="L51" s="23">
        <v>0</v>
      </c>
      <c r="M51" s="24">
        <f t="shared" si="2"/>
        <v>36</v>
      </c>
      <c r="N51" s="25">
        <f t="shared" si="3"/>
        <v>47453</v>
      </c>
    </row>
    <row r="52" spans="1:14" x14ac:dyDescent="0.25">
      <c r="A52" s="8" t="s">
        <v>230</v>
      </c>
      <c r="B52" s="29">
        <v>0.75</v>
      </c>
      <c r="C52" s="21" t="s">
        <v>129</v>
      </c>
      <c r="D52" s="27" t="s">
        <v>231</v>
      </c>
      <c r="E52" s="21" t="s">
        <v>232</v>
      </c>
      <c r="G52" s="21">
        <v>48</v>
      </c>
      <c r="H52" s="8" t="s">
        <v>233</v>
      </c>
      <c r="I52" s="8" t="s">
        <v>109</v>
      </c>
      <c r="J52" s="22">
        <v>36</v>
      </c>
      <c r="K52" s="22"/>
      <c r="L52" s="23">
        <v>0</v>
      </c>
      <c r="M52" s="24">
        <f t="shared" si="2"/>
        <v>36</v>
      </c>
      <c r="N52" s="25">
        <f t="shared" si="3"/>
        <v>47453</v>
      </c>
    </row>
    <row r="53" spans="1:14" x14ac:dyDescent="0.25">
      <c r="A53" s="8" t="s">
        <v>234</v>
      </c>
      <c r="B53" s="32">
        <v>30</v>
      </c>
      <c r="C53" s="21" t="s">
        <v>83</v>
      </c>
      <c r="D53" s="27" t="s">
        <v>235</v>
      </c>
      <c r="E53" s="21"/>
      <c r="G53" s="21">
        <v>49</v>
      </c>
      <c r="H53" s="8" t="s">
        <v>207</v>
      </c>
      <c r="I53" s="8" t="s">
        <v>145</v>
      </c>
      <c r="J53" s="22">
        <v>36</v>
      </c>
      <c r="K53" s="22"/>
      <c r="L53" s="23">
        <v>0</v>
      </c>
      <c r="M53" s="24">
        <f t="shared" si="2"/>
        <v>36</v>
      </c>
      <c r="N53" s="25">
        <f t="shared" si="3"/>
        <v>47453</v>
      </c>
    </row>
    <row r="54" spans="1:14" x14ac:dyDescent="0.25">
      <c r="A54" s="8" t="s">
        <v>236</v>
      </c>
      <c r="B54" s="33">
        <v>0.05</v>
      </c>
      <c r="C54" s="21" t="s">
        <v>129</v>
      </c>
      <c r="D54" s="27" t="s">
        <v>237</v>
      </c>
      <c r="E54" s="21"/>
      <c r="G54" s="21">
        <v>50</v>
      </c>
      <c r="H54" s="8" t="s">
        <v>190</v>
      </c>
      <c r="I54" s="8" t="s">
        <v>92</v>
      </c>
      <c r="J54" s="22">
        <v>36</v>
      </c>
      <c r="K54" s="22"/>
      <c r="L54" s="23">
        <v>0</v>
      </c>
      <c r="M54" s="24">
        <f t="shared" si="2"/>
        <v>36</v>
      </c>
      <c r="N54" s="25">
        <f t="shared" si="3"/>
        <v>47453</v>
      </c>
    </row>
    <row r="55" spans="1:14" x14ac:dyDescent="0.25">
      <c r="A55" s="8" t="s">
        <v>238</v>
      </c>
      <c r="B55" s="33">
        <v>2.5000000000000001E-3</v>
      </c>
      <c r="C55" s="21" t="s">
        <v>129</v>
      </c>
      <c r="D55" s="27" t="s">
        <v>239</v>
      </c>
      <c r="E55" s="21" t="s">
        <v>240</v>
      </c>
      <c r="G55" s="21">
        <v>51</v>
      </c>
      <c r="H55" s="8" t="s">
        <v>198</v>
      </c>
      <c r="I55" s="8" t="s">
        <v>97</v>
      </c>
      <c r="J55" s="22">
        <v>36</v>
      </c>
      <c r="K55" s="22"/>
      <c r="L55" s="23">
        <v>0</v>
      </c>
      <c r="M55" s="24">
        <f t="shared" si="2"/>
        <v>36</v>
      </c>
      <c r="N55" s="25">
        <f t="shared" si="3"/>
        <v>47453</v>
      </c>
    </row>
    <row r="56" spans="1:14" x14ac:dyDescent="0.25">
      <c r="A56" s="19" t="s">
        <v>241</v>
      </c>
      <c r="B56" s="20"/>
      <c r="C56" s="20"/>
      <c r="D56" s="20"/>
      <c r="E56" s="20"/>
      <c r="G56" s="21">
        <v>52</v>
      </c>
      <c r="H56" s="8" t="s">
        <v>81</v>
      </c>
      <c r="I56" s="8" t="s">
        <v>76</v>
      </c>
      <c r="J56" s="22">
        <v>38</v>
      </c>
      <c r="K56" s="22"/>
      <c r="L56" s="23">
        <v>0</v>
      </c>
      <c r="M56" s="24">
        <f t="shared" si="2"/>
        <v>38</v>
      </c>
      <c r="N56" s="25">
        <f t="shared" si="3"/>
        <v>47515</v>
      </c>
    </row>
    <row r="57" spans="1:14" x14ac:dyDescent="0.25">
      <c r="A57" s="8" t="s">
        <v>242</v>
      </c>
      <c r="B57" s="32">
        <v>1.1000000000000001</v>
      </c>
      <c r="C57" s="21" t="s">
        <v>83</v>
      </c>
      <c r="D57" s="27" t="s">
        <v>243</v>
      </c>
      <c r="E57" s="21"/>
      <c r="G57" s="21">
        <v>53</v>
      </c>
      <c r="H57" s="8" t="s">
        <v>115</v>
      </c>
      <c r="I57" s="8" t="s">
        <v>109</v>
      </c>
      <c r="J57" s="22">
        <v>38</v>
      </c>
      <c r="K57" s="22" t="s">
        <v>110</v>
      </c>
      <c r="L57" s="23">
        <v>1</v>
      </c>
      <c r="M57" s="24">
        <f t="shared" si="2"/>
        <v>38</v>
      </c>
      <c r="N57" s="25">
        <f t="shared" si="3"/>
        <v>47515</v>
      </c>
    </row>
    <row r="58" spans="1:14" x14ac:dyDescent="0.25">
      <c r="A58" s="8" t="s">
        <v>244</v>
      </c>
      <c r="B58" s="32">
        <v>1.2</v>
      </c>
      <c r="C58" s="21" t="s">
        <v>83</v>
      </c>
      <c r="D58" s="27" t="s">
        <v>245</v>
      </c>
      <c r="E58" s="21"/>
      <c r="G58" s="21">
        <v>54</v>
      </c>
      <c r="H58" s="8" t="s">
        <v>190</v>
      </c>
      <c r="I58" s="8" t="s">
        <v>92</v>
      </c>
      <c r="J58" s="22">
        <v>38</v>
      </c>
      <c r="K58" s="22"/>
      <c r="L58" s="23">
        <v>0</v>
      </c>
      <c r="M58" s="24">
        <f t="shared" si="2"/>
        <v>38</v>
      </c>
      <c r="N58" s="25">
        <f t="shared" si="3"/>
        <v>47515</v>
      </c>
    </row>
    <row r="59" spans="1:14" x14ac:dyDescent="0.25">
      <c r="A59" s="8" t="s">
        <v>246</v>
      </c>
      <c r="B59" s="29">
        <v>1.4999999999999999E-2</v>
      </c>
      <c r="C59" s="21" t="s">
        <v>129</v>
      </c>
      <c r="D59" s="27" t="s">
        <v>247</v>
      </c>
      <c r="E59" s="21" t="s">
        <v>248</v>
      </c>
      <c r="G59" s="21">
        <v>55</v>
      </c>
      <c r="H59" s="8" t="s">
        <v>81</v>
      </c>
      <c r="I59" s="8" t="s">
        <v>76</v>
      </c>
      <c r="J59" s="22">
        <v>39</v>
      </c>
      <c r="K59" s="22"/>
      <c r="L59" s="23">
        <v>0</v>
      </c>
      <c r="M59" s="24">
        <f t="shared" si="2"/>
        <v>39</v>
      </c>
      <c r="N59" s="25">
        <f t="shared" si="3"/>
        <v>47543</v>
      </c>
    </row>
    <row r="60" spans="1:14" x14ac:dyDescent="0.25">
      <c r="A60" s="8" t="s">
        <v>249</v>
      </c>
      <c r="B60" s="32">
        <v>18</v>
      </c>
      <c r="C60" s="21" t="s">
        <v>83</v>
      </c>
      <c r="D60" s="27" t="s">
        <v>250</v>
      </c>
      <c r="E60" s="21"/>
      <c r="G60" s="21">
        <v>56</v>
      </c>
      <c r="H60" s="8" t="s">
        <v>115</v>
      </c>
      <c r="I60" s="8" t="s">
        <v>109</v>
      </c>
      <c r="J60" s="22">
        <v>39</v>
      </c>
      <c r="K60" s="22" t="s">
        <v>110</v>
      </c>
      <c r="L60" s="23">
        <v>1</v>
      </c>
      <c r="M60" s="24">
        <f t="shared" si="2"/>
        <v>39</v>
      </c>
      <c r="N60" s="25">
        <f t="shared" si="3"/>
        <v>47543</v>
      </c>
    </row>
    <row r="61" spans="1:14" x14ac:dyDescent="0.25">
      <c r="A61" s="19" t="s">
        <v>251</v>
      </c>
      <c r="B61" s="20"/>
      <c r="C61" s="20"/>
      <c r="D61" s="20"/>
      <c r="E61" s="20"/>
      <c r="G61" s="21">
        <v>57</v>
      </c>
      <c r="H61" s="8" t="s">
        <v>198</v>
      </c>
      <c r="I61" s="8" t="s">
        <v>97</v>
      </c>
      <c r="J61" s="22">
        <v>39</v>
      </c>
      <c r="K61" s="22"/>
      <c r="L61" s="23">
        <v>0</v>
      </c>
      <c r="M61" s="24">
        <f t="shared" si="2"/>
        <v>39</v>
      </c>
      <c r="N61" s="25">
        <f t="shared" si="3"/>
        <v>47543</v>
      </c>
    </row>
    <row r="62" spans="1:14" x14ac:dyDescent="0.25">
      <c r="A62" s="8" t="s">
        <v>76</v>
      </c>
      <c r="B62" s="28">
        <v>140000</v>
      </c>
      <c r="C62" s="21" t="s">
        <v>83</v>
      </c>
      <c r="D62" s="27" t="s">
        <v>252</v>
      </c>
      <c r="E62" s="21"/>
      <c r="G62" s="21">
        <v>58</v>
      </c>
      <c r="H62" s="8" t="s">
        <v>190</v>
      </c>
      <c r="I62" s="8" t="s">
        <v>92</v>
      </c>
      <c r="J62" s="22">
        <v>40</v>
      </c>
      <c r="K62" s="22"/>
      <c r="L62" s="23">
        <v>0</v>
      </c>
      <c r="M62" s="24">
        <f t="shared" si="2"/>
        <v>40</v>
      </c>
      <c r="N62" s="25">
        <f t="shared" si="3"/>
        <v>47574</v>
      </c>
    </row>
    <row r="63" spans="1:14" x14ac:dyDescent="0.25">
      <c r="A63" s="8" t="s">
        <v>253</v>
      </c>
      <c r="B63" s="28">
        <v>110000</v>
      </c>
      <c r="C63" s="21" t="s">
        <v>83</v>
      </c>
      <c r="D63" s="27" t="s">
        <v>254</v>
      </c>
      <c r="E63" s="21"/>
      <c r="G63" s="21">
        <v>59</v>
      </c>
      <c r="H63" s="8" t="s">
        <v>81</v>
      </c>
      <c r="I63" s="8" t="s">
        <v>76</v>
      </c>
      <c r="J63" s="22">
        <v>41</v>
      </c>
      <c r="K63" s="22"/>
      <c r="L63" s="23">
        <v>0</v>
      </c>
      <c r="M63" s="24">
        <f t="shared" si="2"/>
        <v>41</v>
      </c>
      <c r="N63" s="25">
        <f t="shared" si="3"/>
        <v>47604</v>
      </c>
    </row>
    <row r="64" spans="1:14" x14ac:dyDescent="0.25">
      <c r="A64" s="8" t="s">
        <v>145</v>
      </c>
      <c r="B64" s="28">
        <v>110000</v>
      </c>
      <c r="C64" s="21" t="s">
        <v>83</v>
      </c>
      <c r="D64" s="27" t="s">
        <v>255</v>
      </c>
      <c r="E64" s="21"/>
      <c r="G64" s="21">
        <v>60</v>
      </c>
      <c r="H64" s="8" t="s">
        <v>115</v>
      </c>
      <c r="I64" s="8" t="s">
        <v>109</v>
      </c>
      <c r="J64" s="22">
        <v>41</v>
      </c>
      <c r="K64" s="22" t="s">
        <v>110</v>
      </c>
      <c r="L64" s="23">
        <v>1</v>
      </c>
      <c r="M64" s="24">
        <f t="shared" si="2"/>
        <v>41</v>
      </c>
      <c r="N64" s="25">
        <f t="shared" si="3"/>
        <v>47604</v>
      </c>
    </row>
    <row r="65" spans="1:14" x14ac:dyDescent="0.25">
      <c r="A65" s="8" t="s">
        <v>256</v>
      </c>
      <c r="B65" s="28">
        <v>80000</v>
      </c>
      <c r="C65" s="21" t="s">
        <v>83</v>
      </c>
      <c r="D65" s="27" t="s">
        <v>257</v>
      </c>
      <c r="E65" s="21" t="s">
        <v>258</v>
      </c>
      <c r="G65" s="21">
        <v>61</v>
      </c>
      <c r="H65" s="8" t="s">
        <v>81</v>
      </c>
      <c r="I65" s="8" t="s">
        <v>76</v>
      </c>
      <c r="J65" s="22">
        <v>42</v>
      </c>
      <c r="K65" s="22"/>
      <c r="L65" s="23">
        <v>0</v>
      </c>
      <c r="M65" s="24">
        <f t="shared" si="2"/>
        <v>42</v>
      </c>
      <c r="N65" s="25">
        <f t="shared" si="3"/>
        <v>47635</v>
      </c>
    </row>
    <row r="66" spans="1:14" x14ac:dyDescent="0.25">
      <c r="A66" s="8" t="s">
        <v>97</v>
      </c>
      <c r="B66" s="28">
        <v>120000</v>
      </c>
      <c r="C66" s="21" t="s">
        <v>83</v>
      </c>
      <c r="D66" s="27" t="s">
        <v>259</v>
      </c>
      <c r="E66" s="21"/>
      <c r="G66" s="21">
        <v>62</v>
      </c>
      <c r="H66" s="8" t="s">
        <v>214</v>
      </c>
      <c r="I66" s="8" t="s">
        <v>109</v>
      </c>
      <c r="J66" s="22">
        <v>42</v>
      </c>
      <c r="K66" s="22" t="s">
        <v>152</v>
      </c>
      <c r="L66" s="23">
        <v>1</v>
      </c>
      <c r="M66" s="24">
        <f t="shared" si="2"/>
        <v>42</v>
      </c>
      <c r="N66" s="25">
        <f t="shared" si="3"/>
        <v>47635</v>
      </c>
    </row>
    <row r="67" spans="1:14" x14ac:dyDescent="0.25">
      <c r="A67" s="8" t="s">
        <v>260</v>
      </c>
      <c r="B67" s="29">
        <v>0.03</v>
      </c>
      <c r="C67" s="21" t="s">
        <v>129</v>
      </c>
      <c r="D67" s="27" t="s">
        <v>261</v>
      </c>
      <c r="E67" s="21"/>
      <c r="G67" s="21">
        <v>63</v>
      </c>
      <c r="H67" s="8" t="s">
        <v>207</v>
      </c>
      <c r="I67" s="8" t="s">
        <v>145</v>
      </c>
      <c r="J67" s="22">
        <v>42</v>
      </c>
      <c r="K67" s="22"/>
      <c r="L67" s="23">
        <v>0</v>
      </c>
      <c r="M67" s="24">
        <f t="shared" si="2"/>
        <v>42</v>
      </c>
      <c r="N67" s="25">
        <f t="shared" si="3"/>
        <v>47635</v>
      </c>
    </row>
    <row r="68" spans="1:14" x14ac:dyDescent="0.25">
      <c r="A68" s="8" t="s">
        <v>262</v>
      </c>
      <c r="B68" s="29">
        <v>0.2</v>
      </c>
      <c r="C68" s="21" t="s">
        <v>129</v>
      </c>
      <c r="D68" s="27" t="s">
        <v>263</v>
      </c>
      <c r="E68" s="21" t="s">
        <v>264</v>
      </c>
      <c r="G68" s="21">
        <v>64</v>
      </c>
      <c r="H68" s="8" t="s">
        <v>190</v>
      </c>
      <c r="I68" s="8" t="s">
        <v>92</v>
      </c>
      <c r="J68" s="22">
        <v>42</v>
      </c>
      <c r="K68" s="22"/>
      <c r="L68" s="23">
        <v>0</v>
      </c>
      <c r="M68" s="24">
        <f t="shared" si="2"/>
        <v>42</v>
      </c>
      <c r="N68" s="25">
        <f t="shared" si="3"/>
        <v>47635</v>
      </c>
    </row>
    <row r="69" spans="1:14" x14ac:dyDescent="0.25">
      <c r="A69" s="19" t="s">
        <v>265</v>
      </c>
      <c r="B69" s="20"/>
      <c r="C69" s="20"/>
      <c r="D69" s="20"/>
      <c r="E69" s="20"/>
      <c r="G69" s="21">
        <v>65</v>
      </c>
      <c r="H69" s="8" t="s">
        <v>198</v>
      </c>
      <c r="I69" s="8" t="s">
        <v>97</v>
      </c>
      <c r="J69" s="22">
        <v>42</v>
      </c>
      <c r="K69" s="22"/>
      <c r="L69" s="23">
        <v>0</v>
      </c>
      <c r="M69" s="24">
        <f t="shared" ref="M69:M100" si="4">IF(K69="US",MAX(J69,launch_us),IF(K69="UK",MAX(J69,launch_uk),IF(K69="EU",MAX(J69,launch_eu),J69)))</f>
        <v>42</v>
      </c>
      <c r="N69" s="25">
        <f t="shared" ref="N69:N100" si="5">DATE(start_year,J69,1)</f>
        <v>47635</v>
      </c>
    </row>
    <row r="70" spans="1:14" x14ac:dyDescent="0.25">
      <c r="A70" s="8" t="s">
        <v>266</v>
      </c>
      <c r="B70" s="28">
        <v>4500</v>
      </c>
      <c r="C70" s="21" t="s">
        <v>83</v>
      </c>
      <c r="D70" s="27" t="s">
        <v>267</v>
      </c>
      <c r="E70" s="21"/>
      <c r="G70" s="21">
        <v>66</v>
      </c>
      <c r="H70" s="8" t="s">
        <v>81</v>
      </c>
      <c r="I70" s="8" t="s">
        <v>76</v>
      </c>
      <c r="J70" s="22">
        <v>44</v>
      </c>
      <c r="K70" s="22"/>
      <c r="L70" s="23">
        <v>0</v>
      </c>
      <c r="M70" s="24">
        <f t="shared" si="4"/>
        <v>44</v>
      </c>
      <c r="N70" s="25">
        <f t="shared" si="5"/>
        <v>47696</v>
      </c>
    </row>
    <row r="71" spans="1:14" x14ac:dyDescent="0.25">
      <c r="A71" s="8" t="s">
        <v>268</v>
      </c>
      <c r="B71" s="28">
        <v>5000</v>
      </c>
      <c r="C71" s="21" t="s">
        <v>83</v>
      </c>
      <c r="D71" s="27" t="s">
        <v>269</v>
      </c>
      <c r="E71" s="21"/>
      <c r="G71" s="21">
        <v>67</v>
      </c>
      <c r="H71" s="8" t="s">
        <v>270</v>
      </c>
      <c r="I71" s="8" t="s">
        <v>109</v>
      </c>
      <c r="J71" s="22">
        <v>44</v>
      </c>
      <c r="K71" s="22" t="s">
        <v>271</v>
      </c>
      <c r="L71" s="23">
        <v>1</v>
      </c>
      <c r="M71" s="24">
        <f t="shared" si="4"/>
        <v>44</v>
      </c>
      <c r="N71" s="25">
        <f t="shared" si="5"/>
        <v>47696</v>
      </c>
    </row>
    <row r="72" spans="1:14" x14ac:dyDescent="0.25">
      <c r="A72" s="8" t="s">
        <v>272</v>
      </c>
      <c r="B72" s="28">
        <v>900</v>
      </c>
      <c r="C72" s="21" t="s">
        <v>83</v>
      </c>
      <c r="D72" s="27" t="s">
        <v>273</v>
      </c>
      <c r="E72" s="21" t="s">
        <v>274</v>
      </c>
      <c r="G72" s="21">
        <v>68</v>
      </c>
      <c r="H72" s="8" t="s">
        <v>190</v>
      </c>
      <c r="I72" s="8" t="s">
        <v>92</v>
      </c>
      <c r="J72" s="22">
        <v>44</v>
      </c>
      <c r="K72" s="22"/>
      <c r="L72" s="23">
        <v>0</v>
      </c>
      <c r="M72" s="24">
        <f t="shared" si="4"/>
        <v>44</v>
      </c>
      <c r="N72" s="25">
        <f t="shared" si="5"/>
        <v>47696</v>
      </c>
    </row>
    <row r="73" spans="1:14" x14ac:dyDescent="0.25">
      <c r="A73" s="8" t="s">
        <v>275</v>
      </c>
      <c r="B73" s="28">
        <v>12000</v>
      </c>
      <c r="C73" s="21" t="s">
        <v>83</v>
      </c>
      <c r="D73" s="27" t="s">
        <v>276</v>
      </c>
      <c r="E73" s="21"/>
      <c r="G73" s="21">
        <v>69</v>
      </c>
      <c r="H73" s="8" t="s">
        <v>81</v>
      </c>
      <c r="I73" s="8" t="s">
        <v>76</v>
      </c>
      <c r="J73" s="22">
        <v>45</v>
      </c>
      <c r="K73" s="22"/>
      <c r="L73" s="23">
        <v>0</v>
      </c>
      <c r="M73" s="24">
        <f t="shared" si="4"/>
        <v>45</v>
      </c>
      <c r="N73" s="25">
        <f t="shared" si="5"/>
        <v>47727</v>
      </c>
    </row>
    <row r="74" spans="1:14" x14ac:dyDescent="0.25">
      <c r="A74" s="8" t="s">
        <v>277</v>
      </c>
      <c r="B74" s="28">
        <v>4000</v>
      </c>
      <c r="C74" s="21" t="s">
        <v>83</v>
      </c>
      <c r="D74" s="27" t="s">
        <v>278</v>
      </c>
      <c r="E74" s="21"/>
      <c r="G74" s="21">
        <v>70</v>
      </c>
      <c r="H74" s="8" t="s">
        <v>270</v>
      </c>
      <c r="I74" s="8" t="s">
        <v>109</v>
      </c>
      <c r="J74" s="22">
        <v>45</v>
      </c>
      <c r="K74" s="22" t="s">
        <v>271</v>
      </c>
      <c r="L74" s="23">
        <v>1</v>
      </c>
      <c r="M74" s="24">
        <f t="shared" si="4"/>
        <v>45</v>
      </c>
      <c r="N74" s="25">
        <f t="shared" si="5"/>
        <v>47727</v>
      </c>
    </row>
    <row r="75" spans="1:14" x14ac:dyDescent="0.25">
      <c r="A75" s="8" t="s">
        <v>279</v>
      </c>
      <c r="B75" s="26">
        <v>9</v>
      </c>
      <c r="C75" s="21" t="s">
        <v>112</v>
      </c>
      <c r="D75" s="27" t="s">
        <v>280</v>
      </c>
      <c r="E75" s="21" t="s">
        <v>281</v>
      </c>
      <c r="G75" s="21">
        <v>71</v>
      </c>
      <c r="H75" s="8" t="s">
        <v>198</v>
      </c>
      <c r="I75" s="8" t="s">
        <v>97</v>
      </c>
      <c r="J75" s="22">
        <v>45</v>
      </c>
      <c r="K75" s="22"/>
      <c r="L75" s="23">
        <v>0</v>
      </c>
      <c r="M75" s="24">
        <f t="shared" si="4"/>
        <v>45</v>
      </c>
      <c r="N75" s="25">
        <f t="shared" si="5"/>
        <v>47727</v>
      </c>
    </row>
    <row r="76" spans="1:14" x14ac:dyDescent="0.25">
      <c r="A76" s="8" t="s">
        <v>282</v>
      </c>
      <c r="B76" s="28">
        <v>35000</v>
      </c>
      <c r="C76" s="21" t="s">
        <v>83</v>
      </c>
      <c r="D76" s="27" t="s">
        <v>283</v>
      </c>
      <c r="E76" s="21" t="s">
        <v>284</v>
      </c>
      <c r="G76" s="21">
        <v>72</v>
      </c>
      <c r="H76" s="8" t="s">
        <v>190</v>
      </c>
      <c r="I76" s="8" t="s">
        <v>92</v>
      </c>
      <c r="J76" s="22">
        <v>46</v>
      </c>
      <c r="K76" s="22"/>
      <c r="L76" s="23">
        <v>0</v>
      </c>
      <c r="M76" s="24">
        <f t="shared" si="4"/>
        <v>46</v>
      </c>
      <c r="N76" s="25">
        <f t="shared" si="5"/>
        <v>47757</v>
      </c>
    </row>
    <row r="77" spans="1:14" x14ac:dyDescent="0.25">
      <c r="A77" s="8" t="s">
        <v>285</v>
      </c>
      <c r="B77" s="26">
        <v>18</v>
      </c>
      <c r="C77" s="21" t="s">
        <v>112</v>
      </c>
      <c r="D77" s="27" t="s">
        <v>286</v>
      </c>
      <c r="E77" s="21" t="s">
        <v>287</v>
      </c>
      <c r="G77" s="21">
        <v>73</v>
      </c>
      <c r="H77" s="8" t="s">
        <v>81</v>
      </c>
      <c r="I77" s="8" t="s">
        <v>76</v>
      </c>
      <c r="J77" s="22">
        <v>47</v>
      </c>
      <c r="K77" s="22"/>
      <c r="L77" s="23">
        <v>0</v>
      </c>
      <c r="M77" s="24">
        <f t="shared" si="4"/>
        <v>47</v>
      </c>
      <c r="N77" s="25">
        <f t="shared" si="5"/>
        <v>47788</v>
      </c>
    </row>
    <row r="78" spans="1:14" x14ac:dyDescent="0.25">
      <c r="A78" s="8" t="s">
        <v>288</v>
      </c>
      <c r="B78" s="28">
        <v>55000</v>
      </c>
      <c r="C78" s="21" t="s">
        <v>83</v>
      </c>
      <c r="D78" s="27" t="s">
        <v>289</v>
      </c>
      <c r="E78" s="21"/>
      <c r="G78" s="21">
        <v>74</v>
      </c>
      <c r="H78" s="8" t="s">
        <v>290</v>
      </c>
      <c r="I78" s="8" t="s">
        <v>109</v>
      </c>
      <c r="J78" s="22">
        <v>47</v>
      </c>
      <c r="K78" s="22"/>
      <c r="L78" s="23">
        <v>0</v>
      </c>
      <c r="M78" s="24">
        <f t="shared" si="4"/>
        <v>47</v>
      </c>
      <c r="N78" s="25">
        <f t="shared" si="5"/>
        <v>47788</v>
      </c>
    </row>
    <row r="79" spans="1:14" x14ac:dyDescent="0.25">
      <c r="A79" s="8" t="s">
        <v>291</v>
      </c>
      <c r="B79" s="26">
        <v>30</v>
      </c>
      <c r="C79" s="21" t="s">
        <v>112</v>
      </c>
      <c r="D79" s="27" t="s">
        <v>292</v>
      </c>
      <c r="E79" s="21" t="s">
        <v>293</v>
      </c>
      <c r="G79" s="21">
        <v>75</v>
      </c>
      <c r="H79" s="8" t="s">
        <v>81</v>
      </c>
      <c r="I79" s="8" t="s">
        <v>76</v>
      </c>
      <c r="J79" s="22">
        <v>48</v>
      </c>
      <c r="K79" s="22"/>
      <c r="L79" s="23">
        <v>0</v>
      </c>
      <c r="M79" s="24">
        <f t="shared" si="4"/>
        <v>48</v>
      </c>
      <c r="N79" s="25">
        <f t="shared" si="5"/>
        <v>47818</v>
      </c>
    </row>
    <row r="80" spans="1:14" x14ac:dyDescent="0.25">
      <c r="A80" s="19" t="s">
        <v>294</v>
      </c>
      <c r="B80" s="20"/>
      <c r="C80" s="20"/>
      <c r="D80" s="20"/>
      <c r="E80" s="20"/>
      <c r="G80" s="21">
        <v>76</v>
      </c>
      <c r="H80" s="8" t="s">
        <v>290</v>
      </c>
      <c r="I80" s="8" t="s">
        <v>109</v>
      </c>
      <c r="J80" s="22">
        <v>48</v>
      </c>
      <c r="K80" s="22"/>
      <c r="L80" s="23">
        <v>0</v>
      </c>
      <c r="M80" s="24">
        <f t="shared" si="4"/>
        <v>48</v>
      </c>
      <c r="N80" s="25">
        <f t="shared" si="5"/>
        <v>47818</v>
      </c>
    </row>
    <row r="81" spans="1:14" x14ac:dyDescent="0.25">
      <c r="A81" s="8" t="s">
        <v>295</v>
      </c>
      <c r="B81" s="26">
        <v>30</v>
      </c>
      <c r="C81" s="21" t="s">
        <v>296</v>
      </c>
      <c r="D81" s="27" t="s">
        <v>297</v>
      </c>
      <c r="E81" s="21" t="s">
        <v>298</v>
      </c>
      <c r="G81" s="21">
        <v>77</v>
      </c>
      <c r="H81" s="8" t="s">
        <v>207</v>
      </c>
      <c r="I81" s="8" t="s">
        <v>145</v>
      </c>
      <c r="J81" s="22">
        <v>48</v>
      </c>
      <c r="K81" s="22"/>
      <c r="L81" s="23">
        <v>0</v>
      </c>
      <c r="M81" s="24">
        <f t="shared" si="4"/>
        <v>48</v>
      </c>
      <c r="N81" s="25">
        <f t="shared" si="5"/>
        <v>47818</v>
      </c>
    </row>
    <row r="82" spans="1:14" x14ac:dyDescent="0.25">
      <c r="A82" s="8" t="s">
        <v>299</v>
      </c>
      <c r="B82" s="26">
        <v>30</v>
      </c>
      <c r="C82" s="21" t="s">
        <v>296</v>
      </c>
      <c r="D82" s="27" t="s">
        <v>300</v>
      </c>
      <c r="E82" s="21"/>
      <c r="G82" s="21">
        <v>78</v>
      </c>
      <c r="H82" s="8" t="s">
        <v>190</v>
      </c>
      <c r="I82" s="8" t="s">
        <v>92</v>
      </c>
      <c r="J82" s="22">
        <v>48</v>
      </c>
      <c r="K82" s="22"/>
      <c r="L82" s="23">
        <v>0</v>
      </c>
      <c r="M82" s="24">
        <f t="shared" si="4"/>
        <v>48</v>
      </c>
      <c r="N82" s="25">
        <f t="shared" si="5"/>
        <v>47818</v>
      </c>
    </row>
    <row r="83" spans="1:14" x14ac:dyDescent="0.25">
      <c r="A83" s="8" t="s">
        <v>301</v>
      </c>
      <c r="B83" s="28">
        <v>2500</v>
      </c>
      <c r="C83" s="21" t="s">
        <v>83</v>
      </c>
      <c r="D83" s="27" t="s">
        <v>302</v>
      </c>
      <c r="E83" s="21"/>
      <c r="G83" s="21">
        <v>79</v>
      </c>
      <c r="H83" s="8" t="s">
        <v>198</v>
      </c>
      <c r="I83" s="8" t="s">
        <v>97</v>
      </c>
      <c r="J83" s="22">
        <v>48</v>
      </c>
      <c r="K83" s="22"/>
      <c r="L83" s="23">
        <v>0</v>
      </c>
      <c r="M83" s="24">
        <f t="shared" si="4"/>
        <v>48</v>
      </c>
      <c r="N83" s="25">
        <f t="shared" si="5"/>
        <v>47818</v>
      </c>
    </row>
    <row r="84" spans="1:14" x14ac:dyDescent="0.25">
      <c r="A84" s="8" t="s">
        <v>303</v>
      </c>
      <c r="B84" s="26">
        <v>36</v>
      </c>
      <c r="C84" s="21" t="s">
        <v>162</v>
      </c>
      <c r="D84" s="27" t="s">
        <v>304</v>
      </c>
      <c r="E84" s="21" t="s">
        <v>305</v>
      </c>
      <c r="G84" s="21">
        <v>80</v>
      </c>
      <c r="H84" s="8" t="s">
        <v>81</v>
      </c>
      <c r="I84" s="8" t="s">
        <v>76</v>
      </c>
      <c r="J84" s="22">
        <v>50</v>
      </c>
      <c r="K84" s="22"/>
      <c r="L84" s="23">
        <v>0</v>
      </c>
      <c r="M84" s="24">
        <f t="shared" si="4"/>
        <v>50</v>
      </c>
      <c r="N84" s="25">
        <f t="shared" si="5"/>
        <v>47880</v>
      </c>
    </row>
    <row r="85" spans="1:14" x14ac:dyDescent="0.25">
      <c r="A85" s="8" t="s">
        <v>306</v>
      </c>
      <c r="B85" s="29">
        <v>0.25</v>
      </c>
      <c r="C85" s="21" t="s">
        <v>129</v>
      </c>
      <c r="D85" s="27" t="s">
        <v>307</v>
      </c>
      <c r="E85" s="21" t="s">
        <v>308</v>
      </c>
      <c r="G85" s="21">
        <v>81</v>
      </c>
      <c r="H85" s="8" t="s">
        <v>115</v>
      </c>
      <c r="I85" s="8" t="s">
        <v>109</v>
      </c>
      <c r="J85" s="22">
        <v>50</v>
      </c>
      <c r="K85" s="22" t="s">
        <v>110</v>
      </c>
      <c r="L85" s="23">
        <v>1</v>
      </c>
      <c r="M85" s="24">
        <f t="shared" si="4"/>
        <v>50</v>
      </c>
      <c r="N85" s="25">
        <f t="shared" si="5"/>
        <v>47880</v>
      </c>
    </row>
    <row r="86" spans="1:14" x14ac:dyDescent="0.25">
      <c r="A86" s="8" t="s">
        <v>309</v>
      </c>
      <c r="B86" s="29">
        <v>0.8</v>
      </c>
      <c r="C86" s="21" t="s">
        <v>129</v>
      </c>
      <c r="D86" s="27" t="s">
        <v>310</v>
      </c>
      <c r="E86" s="21"/>
      <c r="G86" s="21">
        <v>82</v>
      </c>
      <c r="H86" s="8" t="s">
        <v>190</v>
      </c>
      <c r="I86" s="8" t="s">
        <v>92</v>
      </c>
      <c r="J86" s="22">
        <v>50</v>
      </c>
      <c r="K86" s="22"/>
      <c r="L86" s="23">
        <v>0</v>
      </c>
      <c r="M86" s="24">
        <f t="shared" si="4"/>
        <v>50</v>
      </c>
      <c r="N86" s="25">
        <f t="shared" si="5"/>
        <v>47880</v>
      </c>
    </row>
    <row r="87" spans="1:14" x14ac:dyDescent="0.25">
      <c r="A87" s="8" t="s">
        <v>311</v>
      </c>
      <c r="B87" s="28">
        <v>731082</v>
      </c>
      <c r="C87" s="21" t="s">
        <v>83</v>
      </c>
      <c r="D87" s="27" t="s">
        <v>312</v>
      </c>
      <c r="E87" s="21" t="s">
        <v>313</v>
      </c>
      <c r="G87" s="21">
        <v>83</v>
      </c>
      <c r="H87" s="8" t="s">
        <v>198</v>
      </c>
      <c r="I87" s="8" t="s">
        <v>97</v>
      </c>
      <c r="J87" s="22">
        <v>51</v>
      </c>
      <c r="K87" s="22"/>
      <c r="L87" s="23">
        <v>0</v>
      </c>
      <c r="M87" s="24">
        <f t="shared" si="4"/>
        <v>51</v>
      </c>
      <c r="N87" s="25">
        <f t="shared" si="5"/>
        <v>47908</v>
      </c>
    </row>
    <row r="88" spans="1:14" x14ac:dyDescent="0.25">
      <c r="A88" s="19" t="s">
        <v>314</v>
      </c>
      <c r="B88" s="20"/>
      <c r="C88" s="20"/>
      <c r="D88" s="20"/>
      <c r="E88" s="20"/>
      <c r="G88" s="21">
        <v>84</v>
      </c>
      <c r="H88" s="8" t="s">
        <v>81</v>
      </c>
      <c r="I88" s="8" t="s">
        <v>76</v>
      </c>
      <c r="J88" s="22">
        <v>52</v>
      </c>
      <c r="K88" s="22"/>
      <c r="L88" s="23">
        <v>0</v>
      </c>
      <c r="M88" s="24">
        <f t="shared" si="4"/>
        <v>52</v>
      </c>
      <c r="N88" s="25">
        <f t="shared" si="5"/>
        <v>47939</v>
      </c>
    </row>
    <row r="89" spans="1:14" x14ac:dyDescent="0.25">
      <c r="A89" s="8" t="s">
        <v>315</v>
      </c>
      <c r="B89" s="28">
        <v>3000000</v>
      </c>
      <c r="C89" s="21" t="s">
        <v>83</v>
      </c>
      <c r="D89" s="27" t="s">
        <v>316</v>
      </c>
      <c r="E89" s="21" t="s">
        <v>317</v>
      </c>
      <c r="G89" s="21">
        <v>85</v>
      </c>
      <c r="H89" s="8" t="s">
        <v>115</v>
      </c>
      <c r="I89" s="8" t="s">
        <v>109</v>
      </c>
      <c r="J89" s="22">
        <v>52</v>
      </c>
      <c r="K89" s="22" t="s">
        <v>110</v>
      </c>
      <c r="L89" s="23">
        <v>1</v>
      </c>
      <c r="M89" s="24">
        <f t="shared" si="4"/>
        <v>52</v>
      </c>
      <c r="N89" s="25">
        <f t="shared" si="5"/>
        <v>47939</v>
      </c>
    </row>
    <row r="90" spans="1:14" x14ac:dyDescent="0.25">
      <c r="A90" s="8" t="s">
        <v>318</v>
      </c>
      <c r="B90" s="30">
        <v>150</v>
      </c>
      <c r="C90" s="21" t="s">
        <v>136</v>
      </c>
      <c r="D90" s="27" t="s">
        <v>319</v>
      </c>
      <c r="E90" s="21"/>
      <c r="G90" s="21">
        <v>86</v>
      </c>
      <c r="H90" s="8" t="s">
        <v>190</v>
      </c>
      <c r="I90" s="8" t="s">
        <v>92</v>
      </c>
      <c r="J90" s="22">
        <v>52</v>
      </c>
      <c r="K90" s="22"/>
      <c r="L90" s="23">
        <v>0</v>
      </c>
      <c r="M90" s="24">
        <f t="shared" si="4"/>
        <v>52</v>
      </c>
      <c r="N90" s="25">
        <f t="shared" si="5"/>
        <v>47939</v>
      </c>
    </row>
    <row r="91" spans="1:14" x14ac:dyDescent="0.25">
      <c r="A91" s="8" t="s">
        <v>320</v>
      </c>
      <c r="B91" s="26">
        <v>3</v>
      </c>
      <c r="C91" s="21" t="s">
        <v>162</v>
      </c>
      <c r="D91" s="27" t="s">
        <v>321</v>
      </c>
      <c r="E91" s="21"/>
      <c r="G91" s="21">
        <v>87</v>
      </c>
      <c r="H91" s="8" t="s">
        <v>81</v>
      </c>
      <c r="I91" s="8" t="s">
        <v>76</v>
      </c>
      <c r="J91" s="22">
        <v>54</v>
      </c>
      <c r="K91" s="22"/>
      <c r="L91" s="23">
        <v>0</v>
      </c>
      <c r="M91" s="24">
        <f t="shared" si="4"/>
        <v>54</v>
      </c>
      <c r="N91" s="25">
        <f t="shared" si="5"/>
        <v>48000</v>
      </c>
    </row>
    <row r="92" spans="1:14" x14ac:dyDescent="0.25">
      <c r="A92" s="8" t="s">
        <v>322</v>
      </c>
      <c r="B92" s="26">
        <v>24</v>
      </c>
      <c r="C92" s="21" t="s">
        <v>112</v>
      </c>
      <c r="D92" s="27" t="s">
        <v>323</v>
      </c>
      <c r="E92" s="21" t="s">
        <v>324</v>
      </c>
      <c r="G92" s="21">
        <v>88</v>
      </c>
      <c r="H92" s="8" t="s">
        <v>115</v>
      </c>
      <c r="I92" s="8" t="s">
        <v>109</v>
      </c>
      <c r="J92" s="22">
        <v>54</v>
      </c>
      <c r="K92" s="22" t="s">
        <v>110</v>
      </c>
      <c r="L92" s="23">
        <v>1</v>
      </c>
      <c r="M92" s="24">
        <f t="shared" si="4"/>
        <v>54</v>
      </c>
      <c r="N92" s="25">
        <f t="shared" si="5"/>
        <v>48000</v>
      </c>
    </row>
    <row r="93" spans="1:14" x14ac:dyDescent="0.25">
      <c r="A93" s="8" t="s">
        <v>325</v>
      </c>
      <c r="B93" s="26">
        <v>2028</v>
      </c>
      <c r="C93" s="21" t="s">
        <v>78</v>
      </c>
      <c r="D93" s="27" t="s">
        <v>326</v>
      </c>
      <c r="E93" s="21" t="s">
        <v>327</v>
      </c>
      <c r="G93" s="21">
        <v>89</v>
      </c>
      <c r="H93" s="8" t="s">
        <v>207</v>
      </c>
      <c r="I93" s="8" t="s">
        <v>145</v>
      </c>
      <c r="J93" s="22">
        <v>54</v>
      </c>
      <c r="K93" s="22"/>
      <c r="L93" s="23">
        <v>0</v>
      </c>
      <c r="M93" s="24">
        <f t="shared" si="4"/>
        <v>54</v>
      </c>
      <c r="N93" s="25">
        <f t="shared" si="5"/>
        <v>48000</v>
      </c>
    </row>
    <row r="94" spans="1:14" x14ac:dyDescent="0.25">
      <c r="A94" s="8" t="s">
        <v>328</v>
      </c>
      <c r="B94" s="26">
        <v>60</v>
      </c>
      <c r="C94" s="21" t="s">
        <v>162</v>
      </c>
      <c r="D94" s="27" t="s">
        <v>329</v>
      </c>
      <c r="E94" s="21" t="s">
        <v>330</v>
      </c>
      <c r="G94" s="21">
        <v>90</v>
      </c>
      <c r="H94" s="8" t="s">
        <v>190</v>
      </c>
      <c r="I94" s="8" t="s">
        <v>92</v>
      </c>
      <c r="J94" s="22">
        <v>54</v>
      </c>
      <c r="K94" s="22"/>
      <c r="L94" s="23">
        <v>0</v>
      </c>
      <c r="M94" s="24">
        <f t="shared" si="4"/>
        <v>54</v>
      </c>
      <c r="N94" s="25">
        <f t="shared" si="5"/>
        <v>48000</v>
      </c>
    </row>
    <row r="95" spans="1:14" x14ac:dyDescent="0.25">
      <c r="A95" s="19" t="s">
        <v>331</v>
      </c>
      <c r="B95" s="20"/>
      <c r="C95" s="20"/>
      <c r="D95" s="20"/>
      <c r="E95" s="20"/>
      <c r="G95" s="21">
        <v>91</v>
      </c>
      <c r="H95" s="8" t="s">
        <v>198</v>
      </c>
      <c r="I95" s="8" t="s">
        <v>97</v>
      </c>
      <c r="J95" s="22">
        <v>54</v>
      </c>
      <c r="K95" s="22"/>
      <c r="L95" s="23">
        <v>0</v>
      </c>
      <c r="M95" s="24">
        <f t="shared" si="4"/>
        <v>54</v>
      </c>
      <c r="N95" s="25">
        <f t="shared" si="5"/>
        <v>48000</v>
      </c>
    </row>
    <row r="96" spans="1:14" x14ac:dyDescent="0.25">
      <c r="A96" s="8" t="s">
        <v>332</v>
      </c>
      <c r="B96" s="30">
        <v>12000</v>
      </c>
      <c r="C96" s="21" t="s">
        <v>136</v>
      </c>
      <c r="D96" s="27" t="s">
        <v>333</v>
      </c>
      <c r="E96" s="21" t="s">
        <v>334</v>
      </c>
      <c r="G96" s="21">
        <v>92</v>
      </c>
      <c r="H96" s="8" t="s">
        <v>81</v>
      </c>
      <c r="I96" s="8" t="s">
        <v>76</v>
      </c>
      <c r="J96" s="22">
        <v>55</v>
      </c>
      <c r="K96" s="22"/>
      <c r="L96" s="23">
        <v>0</v>
      </c>
      <c r="M96" s="24">
        <f t="shared" si="4"/>
        <v>55</v>
      </c>
      <c r="N96" s="25">
        <f t="shared" si="5"/>
        <v>48030</v>
      </c>
    </row>
    <row r="97" spans="1:14" x14ac:dyDescent="0.25">
      <c r="A97" s="8" t="s">
        <v>335</v>
      </c>
      <c r="B97" s="30">
        <v>3500</v>
      </c>
      <c r="C97" s="21" t="s">
        <v>136</v>
      </c>
      <c r="D97" s="27" t="s">
        <v>336</v>
      </c>
      <c r="E97" s="21"/>
      <c r="G97" s="21">
        <v>93</v>
      </c>
      <c r="H97" s="8" t="s">
        <v>190</v>
      </c>
      <c r="I97" s="8" t="s">
        <v>92</v>
      </c>
      <c r="J97" s="22">
        <v>55</v>
      </c>
      <c r="K97" s="22"/>
      <c r="L97" s="23">
        <v>0</v>
      </c>
      <c r="M97" s="24">
        <f t="shared" si="4"/>
        <v>55</v>
      </c>
      <c r="N97" s="25">
        <f t="shared" si="5"/>
        <v>48030</v>
      </c>
    </row>
    <row r="98" spans="1:14" x14ac:dyDescent="0.25">
      <c r="A98" s="8" t="s">
        <v>337</v>
      </c>
      <c r="B98" s="30">
        <v>900</v>
      </c>
      <c r="C98" s="21" t="s">
        <v>136</v>
      </c>
      <c r="D98" s="27" t="s">
        <v>338</v>
      </c>
      <c r="E98" s="21" t="s">
        <v>339</v>
      </c>
      <c r="G98" s="21">
        <v>94</v>
      </c>
      <c r="H98" s="8" t="s">
        <v>214</v>
      </c>
      <c r="I98" s="8" t="s">
        <v>109</v>
      </c>
      <c r="J98" s="22">
        <v>56</v>
      </c>
      <c r="K98" s="22" t="s">
        <v>152</v>
      </c>
      <c r="L98" s="23">
        <v>1</v>
      </c>
      <c r="M98" s="24">
        <f t="shared" si="4"/>
        <v>56</v>
      </c>
      <c r="N98" s="25">
        <f t="shared" si="5"/>
        <v>48061</v>
      </c>
    </row>
    <row r="99" spans="1:14" x14ac:dyDescent="0.25">
      <c r="A99" s="8" t="s">
        <v>340</v>
      </c>
      <c r="B99" s="30">
        <v>95</v>
      </c>
      <c r="C99" s="21" t="s">
        <v>140</v>
      </c>
      <c r="D99" s="27" t="s">
        <v>341</v>
      </c>
      <c r="E99" s="21" t="s">
        <v>342</v>
      </c>
      <c r="G99" s="21">
        <v>95</v>
      </c>
      <c r="H99" s="8" t="s">
        <v>81</v>
      </c>
      <c r="I99" s="8" t="s">
        <v>76</v>
      </c>
      <c r="J99" s="22">
        <v>57</v>
      </c>
      <c r="K99" s="22"/>
      <c r="L99" s="23">
        <v>0</v>
      </c>
      <c r="M99" s="24">
        <f t="shared" si="4"/>
        <v>57</v>
      </c>
      <c r="N99" s="25">
        <f t="shared" si="5"/>
        <v>48092</v>
      </c>
    </row>
    <row r="100" spans="1:14" x14ac:dyDescent="0.25">
      <c r="A100" s="8" t="s">
        <v>343</v>
      </c>
      <c r="B100" s="30">
        <v>40</v>
      </c>
      <c r="C100" s="21" t="s">
        <v>140</v>
      </c>
      <c r="D100" s="27" t="s">
        <v>344</v>
      </c>
      <c r="E100" s="21" t="s">
        <v>345</v>
      </c>
      <c r="G100" s="21">
        <v>96</v>
      </c>
      <c r="H100" s="8" t="s">
        <v>190</v>
      </c>
      <c r="I100" s="8" t="s">
        <v>92</v>
      </c>
      <c r="J100" s="22">
        <v>57</v>
      </c>
      <c r="K100" s="22"/>
      <c r="L100" s="23">
        <v>0</v>
      </c>
      <c r="M100" s="24">
        <f t="shared" si="4"/>
        <v>57</v>
      </c>
      <c r="N100" s="25">
        <f t="shared" si="5"/>
        <v>48092</v>
      </c>
    </row>
    <row r="101" spans="1:14" x14ac:dyDescent="0.25">
      <c r="A101" s="8" t="s">
        <v>346</v>
      </c>
      <c r="B101" s="30">
        <v>400</v>
      </c>
      <c r="C101" s="21" t="s">
        <v>140</v>
      </c>
      <c r="D101" s="27" t="s">
        <v>347</v>
      </c>
      <c r="E101" s="21"/>
      <c r="G101" s="21">
        <v>97</v>
      </c>
      <c r="H101" s="8" t="s">
        <v>198</v>
      </c>
      <c r="I101" s="8" t="s">
        <v>97</v>
      </c>
      <c r="J101" s="22">
        <v>57</v>
      </c>
      <c r="K101" s="22"/>
      <c r="L101" s="23">
        <v>0</v>
      </c>
      <c r="M101" s="24">
        <f t="shared" ref="M101:M109" si="6">IF(K101="US",MAX(J101,launch_us),IF(K101="UK",MAX(J101,launch_uk),IF(K101="EU",MAX(J101,launch_eu),J101)))</f>
        <v>57</v>
      </c>
      <c r="N101" s="25">
        <f t="shared" ref="N101:N109" si="7">DATE(start_year,J101,1)</f>
        <v>48092</v>
      </c>
    </row>
    <row r="102" spans="1:14" x14ac:dyDescent="0.25">
      <c r="A102" s="8" t="s">
        <v>348</v>
      </c>
      <c r="B102" s="30">
        <v>15000</v>
      </c>
      <c r="C102" s="21" t="s">
        <v>136</v>
      </c>
      <c r="D102" s="27" t="s">
        <v>349</v>
      </c>
      <c r="E102" s="21" t="s">
        <v>350</v>
      </c>
      <c r="G102" s="21">
        <v>98</v>
      </c>
      <c r="H102" s="8" t="s">
        <v>270</v>
      </c>
      <c r="I102" s="8" t="s">
        <v>109</v>
      </c>
      <c r="J102" s="22">
        <v>58</v>
      </c>
      <c r="K102" s="22" t="s">
        <v>271</v>
      </c>
      <c r="L102" s="23">
        <v>1</v>
      </c>
      <c r="M102" s="24">
        <f t="shared" si="6"/>
        <v>58</v>
      </c>
      <c r="N102" s="25">
        <f t="shared" si="7"/>
        <v>48122</v>
      </c>
    </row>
    <row r="103" spans="1:14" x14ac:dyDescent="0.25">
      <c r="A103" s="8" t="s">
        <v>351</v>
      </c>
      <c r="B103" s="30">
        <v>54000</v>
      </c>
      <c r="C103" s="21" t="s">
        <v>136</v>
      </c>
      <c r="D103" s="27" t="s">
        <v>352</v>
      </c>
      <c r="E103" s="21"/>
      <c r="G103" s="21">
        <v>99</v>
      </c>
      <c r="H103" s="8" t="s">
        <v>81</v>
      </c>
      <c r="I103" s="8" t="s">
        <v>76</v>
      </c>
      <c r="J103" s="22">
        <v>59</v>
      </c>
      <c r="K103" s="22"/>
      <c r="L103" s="23">
        <v>0</v>
      </c>
      <c r="M103" s="24">
        <f t="shared" si="6"/>
        <v>59</v>
      </c>
      <c r="N103" s="25">
        <f t="shared" si="7"/>
        <v>48153</v>
      </c>
    </row>
    <row r="104" spans="1:14" x14ac:dyDescent="0.25">
      <c r="A104" s="19" t="s">
        <v>353</v>
      </c>
      <c r="B104" s="20"/>
      <c r="C104" s="20"/>
      <c r="D104" s="20"/>
      <c r="E104" s="20"/>
      <c r="G104" s="21">
        <v>100</v>
      </c>
      <c r="H104" s="8" t="s">
        <v>190</v>
      </c>
      <c r="I104" s="8" t="s">
        <v>92</v>
      </c>
      <c r="J104" s="22">
        <v>59</v>
      </c>
      <c r="K104" s="22"/>
      <c r="L104" s="23">
        <v>0</v>
      </c>
      <c r="M104" s="24">
        <f t="shared" si="6"/>
        <v>59</v>
      </c>
      <c r="N104" s="25">
        <f t="shared" si="7"/>
        <v>48153</v>
      </c>
    </row>
    <row r="105" spans="1:14" x14ac:dyDescent="0.25">
      <c r="A105" s="8" t="s">
        <v>354</v>
      </c>
      <c r="B105" s="26">
        <v>4</v>
      </c>
      <c r="C105" s="21" t="s">
        <v>355</v>
      </c>
      <c r="D105" s="27" t="s">
        <v>356</v>
      </c>
      <c r="E105" s="21" t="s">
        <v>357</v>
      </c>
      <c r="G105" s="21">
        <v>101</v>
      </c>
      <c r="H105" s="8" t="s">
        <v>81</v>
      </c>
      <c r="I105" s="8" t="s">
        <v>76</v>
      </c>
      <c r="J105" s="22">
        <v>60</v>
      </c>
      <c r="K105" s="22"/>
      <c r="L105" s="23">
        <v>0</v>
      </c>
      <c r="M105" s="24">
        <f t="shared" si="6"/>
        <v>60</v>
      </c>
      <c r="N105" s="25">
        <f t="shared" si="7"/>
        <v>48183</v>
      </c>
    </row>
    <row r="106" spans="1:14" x14ac:dyDescent="0.25">
      <c r="A106" s="8" t="s">
        <v>358</v>
      </c>
      <c r="B106" s="26">
        <v>6</v>
      </c>
      <c r="C106" s="21" t="s">
        <v>355</v>
      </c>
      <c r="D106" s="27" t="s">
        <v>359</v>
      </c>
      <c r="E106" s="21"/>
      <c r="G106" s="21">
        <v>102</v>
      </c>
      <c r="H106" s="8" t="s">
        <v>290</v>
      </c>
      <c r="I106" s="8" t="s">
        <v>109</v>
      </c>
      <c r="J106" s="22">
        <v>60</v>
      </c>
      <c r="K106" s="22"/>
      <c r="L106" s="23">
        <v>0</v>
      </c>
      <c r="M106" s="24">
        <f t="shared" si="6"/>
        <v>60</v>
      </c>
      <c r="N106" s="25">
        <f t="shared" si="7"/>
        <v>48183</v>
      </c>
    </row>
    <row r="107" spans="1:14" x14ac:dyDescent="0.25">
      <c r="A107" s="8" t="s">
        <v>360</v>
      </c>
      <c r="B107" s="26">
        <v>8</v>
      </c>
      <c r="C107" s="21" t="s">
        <v>355</v>
      </c>
      <c r="D107" s="27" t="s">
        <v>361</v>
      </c>
      <c r="E107" s="21"/>
      <c r="G107" s="21">
        <v>103</v>
      </c>
      <c r="H107" s="8" t="s">
        <v>207</v>
      </c>
      <c r="I107" s="8" t="s">
        <v>145</v>
      </c>
      <c r="J107" s="22">
        <v>60</v>
      </c>
      <c r="K107" s="22"/>
      <c r="L107" s="23">
        <v>0</v>
      </c>
      <c r="M107" s="24">
        <f t="shared" si="6"/>
        <v>60</v>
      </c>
      <c r="N107" s="25">
        <f t="shared" si="7"/>
        <v>48183</v>
      </c>
    </row>
    <row r="108" spans="1:14" x14ac:dyDescent="0.25">
      <c r="A108" s="8" t="s">
        <v>362</v>
      </c>
      <c r="B108" s="34">
        <v>0.16</v>
      </c>
      <c r="C108" s="21" t="s">
        <v>129</v>
      </c>
      <c r="D108" s="27" t="s">
        <v>363</v>
      </c>
      <c r="E108" s="21" t="s">
        <v>364</v>
      </c>
      <c r="G108" s="21">
        <v>104</v>
      </c>
      <c r="H108" s="8" t="s">
        <v>190</v>
      </c>
      <c r="I108" s="8" t="s">
        <v>92</v>
      </c>
      <c r="J108" s="22">
        <v>60</v>
      </c>
      <c r="K108" s="22"/>
      <c r="L108" s="23">
        <v>0</v>
      </c>
      <c r="M108" s="24">
        <f t="shared" si="6"/>
        <v>60</v>
      </c>
      <c r="N108" s="25">
        <f t="shared" si="7"/>
        <v>48183</v>
      </c>
    </row>
    <row r="109" spans="1:14" x14ac:dyDescent="0.25">
      <c r="A109" s="19" t="s">
        <v>365</v>
      </c>
      <c r="B109" s="20"/>
      <c r="C109" s="20"/>
      <c r="D109" s="20"/>
      <c r="E109" s="20"/>
      <c r="G109" s="21">
        <v>105</v>
      </c>
      <c r="H109" s="8" t="s">
        <v>198</v>
      </c>
      <c r="I109" s="8" t="s">
        <v>97</v>
      </c>
      <c r="J109" s="22">
        <v>60</v>
      </c>
      <c r="K109" s="22"/>
      <c r="L109" s="23">
        <v>0</v>
      </c>
      <c r="M109" s="24">
        <f t="shared" si="6"/>
        <v>60</v>
      </c>
      <c r="N109" s="25">
        <f t="shared" si="7"/>
        <v>48183</v>
      </c>
    </row>
    <row r="110" spans="1:14" x14ac:dyDescent="0.25">
      <c r="A110" s="8" t="s">
        <v>366</v>
      </c>
      <c r="B110" s="30">
        <v>89</v>
      </c>
      <c r="C110" s="21" t="s">
        <v>140</v>
      </c>
      <c r="D110" s="27" t="s">
        <v>367</v>
      </c>
      <c r="E110" s="21"/>
    </row>
    <row r="111" spans="1:14" x14ac:dyDescent="0.25">
      <c r="A111" s="8" t="s">
        <v>368</v>
      </c>
      <c r="B111" s="32">
        <v>32</v>
      </c>
      <c r="C111" s="21" t="s">
        <v>83</v>
      </c>
      <c r="D111" s="27" t="s">
        <v>369</v>
      </c>
      <c r="E111" s="21"/>
      <c r="G111" s="4" t="s">
        <v>370</v>
      </c>
    </row>
    <row r="112" spans="1:14" x14ac:dyDescent="0.25">
      <c r="A112" s="8" t="s">
        <v>371</v>
      </c>
      <c r="B112" s="26">
        <v>4</v>
      </c>
      <c r="C112" s="21" t="s">
        <v>372</v>
      </c>
      <c r="D112" s="27" t="s">
        <v>373</v>
      </c>
      <c r="E112" s="21" t="s">
        <v>374</v>
      </c>
      <c r="G112" s="4" t="s">
        <v>375</v>
      </c>
    </row>
    <row r="113" spans="1:5" x14ac:dyDescent="0.25">
      <c r="A113" s="8" t="s">
        <v>376</v>
      </c>
      <c r="B113" s="34">
        <v>0.54</v>
      </c>
      <c r="C113" s="21" t="s">
        <v>129</v>
      </c>
      <c r="D113" s="27" t="s">
        <v>377</v>
      </c>
      <c r="E113" s="21" t="s">
        <v>378</v>
      </c>
    </row>
    <row r="114" spans="1:5" x14ac:dyDescent="0.25">
      <c r="A114" s="19" t="s">
        <v>379</v>
      </c>
      <c r="B114" s="20"/>
      <c r="C114" s="20"/>
      <c r="D114" s="20"/>
      <c r="E114" s="20"/>
    </row>
    <row r="115" spans="1:5" x14ac:dyDescent="0.25">
      <c r="A115" s="8" t="s">
        <v>380</v>
      </c>
      <c r="B115" s="26">
        <v>7</v>
      </c>
      <c r="C115" s="21" t="s">
        <v>162</v>
      </c>
      <c r="D115" s="27" t="s">
        <v>381</v>
      </c>
      <c r="E115" s="21" t="s">
        <v>382</v>
      </c>
    </row>
    <row r="116" spans="1:5" x14ac:dyDescent="0.25">
      <c r="A116" s="8" t="s">
        <v>383</v>
      </c>
      <c r="B116" s="26">
        <v>3</v>
      </c>
      <c r="C116" s="21" t="s">
        <v>384</v>
      </c>
      <c r="D116" s="27" t="s">
        <v>385</v>
      </c>
      <c r="E116" s="21" t="s">
        <v>386</v>
      </c>
    </row>
    <row r="117" spans="1:5" x14ac:dyDescent="0.25">
      <c r="A117" s="8" t="s">
        <v>387</v>
      </c>
      <c r="B117" s="34">
        <v>0.54</v>
      </c>
      <c r="C117" s="21" t="s">
        <v>129</v>
      </c>
      <c r="D117" s="27" t="s">
        <v>388</v>
      </c>
      <c r="E117" s="21"/>
    </row>
    <row r="118" spans="1:5" x14ac:dyDescent="0.25">
      <c r="A118" s="8" t="s">
        <v>389</v>
      </c>
      <c r="B118" s="34">
        <v>0.81</v>
      </c>
      <c r="C118" s="21" t="s">
        <v>129</v>
      </c>
      <c r="D118" s="27" t="s">
        <v>390</v>
      </c>
      <c r="E118" s="21" t="s">
        <v>391</v>
      </c>
    </row>
    <row r="119" spans="1:5" x14ac:dyDescent="0.25">
      <c r="A119" s="8" t="s">
        <v>392</v>
      </c>
      <c r="B119" s="26">
        <v>160</v>
      </c>
      <c r="C119" s="21" t="s">
        <v>393</v>
      </c>
      <c r="D119" s="27" t="s">
        <v>394</v>
      </c>
      <c r="E119" s="21" t="s">
        <v>395</v>
      </c>
    </row>
    <row r="120" spans="1:5" x14ac:dyDescent="0.25">
      <c r="A120" s="8" t="s">
        <v>396</v>
      </c>
      <c r="B120" s="26">
        <v>38</v>
      </c>
      <c r="C120" s="21" t="s">
        <v>393</v>
      </c>
      <c r="D120" s="27" t="s">
        <v>397</v>
      </c>
      <c r="E120" s="21"/>
    </row>
    <row r="121" spans="1:5" x14ac:dyDescent="0.25">
      <c r="A121" s="8" t="s">
        <v>398</v>
      </c>
      <c r="B121" s="34">
        <v>0.31</v>
      </c>
      <c r="C121" s="21" t="s">
        <v>129</v>
      </c>
      <c r="D121" s="27" t="s">
        <v>399</v>
      </c>
      <c r="E121" s="21"/>
    </row>
    <row r="122" spans="1:5" x14ac:dyDescent="0.25">
      <c r="A122" s="8" t="s">
        <v>400</v>
      </c>
      <c r="B122" s="34">
        <v>0.19</v>
      </c>
      <c r="C122" s="21" t="s">
        <v>129</v>
      </c>
      <c r="D122" s="27" t="s">
        <v>401</v>
      </c>
      <c r="E122" s="21"/>
    </row>
    <row r="123" spans="1:5" x14ac:dyDescent="0.25">
      <c r="A123" s="8" t="s">
        <v>402</v>
      </c>
      <c r="B123" s="26">
        <v>11</v>
      </c>
      <c r="C123" s="21" t="s">
        <v>372</v>
      </c>
      <c r="D123" s="27" t="s">
        <v>403</v>
      </c>
      <c r="E123" s="21"/>
    </row>
    <row r="124" spans="1:5" x14ac:dyDescent="0.25">
      <c r="A124" s="8" t="s">
        <v>404</v>
      </c>
      <c r="B124" s="26">
        <v>4</v>
      </c>
      <c r="C124" s="21" t="s">
        <v>372</v>
      </c>
      <c r="D124" s="27" t="s">
        <v>405</v>
      </c>
      <c r="E124" s="21"/>
    </row>
    <row r="125" spans="1:5" x14ac:dyDescent="0.25">
      <c r="A125" s="8" t="s">
        <v>406</v>
      </c>
      <c r="B125" s="26">
        <v>9</v>
      </c>
      <c r="C125" s="21" t="s">
        <v>296</v>
      </c>
      <c r="D125" s="27" t="s">
        <v>407</v>
      </c>
      <c r="E125" s="21"/>
    </row>
    <row r="126" spans="1:5" x14ac:dyDescent="0.25">
      <c r="A126" s="8" t="s">
        <v>408</v>
      </c>
      <c r="B126" s="26">
        <v>0</v>
      </c>
      <c r="C126" s="21" t="s">
        <v>136</v>
      </c>
      <c r="D126" s="27" t="s">
        <v>409</v>
      </c>
      <c r="E126" s="21" t="s">
        <v>410</v>
      </c>
    </row>
    <row r="127" spans="1:5" x14ac:dyDescent="0.25">
      <c r="A127" s="19" t="s">
        <v>411</v>
      </c>
      <c r="B127" s="20"/>
      <c r="C127" s="20"/>
      <c r="D127" s="20"/>
      <c r="E127" s="20"/>
    </row>
    <row r="128" spans="1:5" x14ac:dyDescent="0.25">
      <c r="A128" s="8" t="s">
        <v>412</v>
      </c>
      <c r="B128" s="34">
        <v>0.75</v>
      </c>
      <c r="C128" s="21" t="s">
        <v>129</v>
      </c>
      <c r="D128" s="27" t="s">
        <v>413</v>
      </c>
      <c r="E128" s="21" t="s">
        <v>414</v>
      </c>
    </row>
    <row r="129" spans="1:5" x14ac:dyDescent="0.25">
      <c r="A129" s="8" t="s">
        <v>415</v>
      </c>
      <c r="B129" s="26">
        <v>2024</v>
      </c>
      <c r="C129" s="21" t="s">
        <v>78</v>
      </c>
      <c r="D129" s="27" t="s">
        <v>416</v>
      </c>
      <c r="E129" s="21" t="s">
        <v>417</v>
      </c>
    </row>
    <row r="130" spans="1:5" x14ac:dyDescent="0.25">
      <c r="A130" s="8" t="s">
        <v>418</v>
      </c>
      <c r="B130" s="26">
        <v>2023</v>
      </c>
      <c r="C130" s="21" t="s">
        <v>78</v>
      </c>
      <c r="D130" s="27" t="s">
        <v>419</v>
      </c>
      <c r="E130" s="21" t="s">
        <v>420</v>
      </c>
    </row>
    <row r="131" spans="1:5" x14ac:dyDescent="0.25">
      <c r="A131" s="8" t="s">
        <v>421</v>
      </c>
      <c r="B131" s="26">
        <v>2030</v>
      </c>
      <c r="C131" s="21" t="s">
        <v>78</v>
      </c>
      <c r="D131" s="27" t="s">
        <v>422</v>
      </c>
      <c r="E131" s="21" t="s">
        <v>423</v>
      </c>
    </row>
    <row r="132" spans="1:5" x14ac:dyDescent="0.25">
      <c r="A132" s="8" t="s">
        <v>424</v>
      </c>
      <c r="B132" s="26">
        <v>65</v>
      </c>
      <c r="C132" s="21" t="s">
        <v>425</v>
      </c>
      <c r="D132" s="27" t="s">
        <v>426</v>
      </c>
      <c r="E132" s="21" t="s">
        <v>427</v>
      </c>
    </row>
    <row r="133" spans="1:5" x14ac:dyDescent="0.25">
      <c r="A133" s="8" t="s">
        <v>428</v>
      </c>
      <c r="B133" s="35" t="s">
        <v>429</v>
      </c>
      <c r="E133" s="21" t="s">
        <v>430</v>
      </c>
    </row>
  </sheetData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E2A55"/>
  </sheetPr>
  <dimension ref="A1:BL96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0" customWidth="1"/>
    <col min="2" max="2" width="11" customWidth="1"/>
    <col min="3" max="3" width="30" customWidth="1"/>
    <col min="4" max="64" width="11.42578125" customWidth="1"/>
  </cols>
  <sheetData>
    <row r="1" spans="1:64" ht="19.5" x14ac:dyDescent="0.3">
      <c r="A1" s="17" t="s">
        <v>431</v>
      </c>
      <c r="G1" s="125" t="s">
        <v>1</v>
      </c>
      <c r="H1" s="122"/>
      <c r="I1" s="122"/>
    </row>
    <row r="2" spans="1:64" x14ac:dyDescent="0.25">
      <c r="A2" s="4" t="s">
        <v>432</v>
      </c>
    </row>
    <row r="3" spans="1:64" x14ac:dyDescent="0.25">
      <c r="D3" s="36" t="s">
        <v>433</v>
      </c>
      <c r="E3" s="4" t="s">
        <v>434</v>
      </c>
    </row>
    <row r="4" spans="1:64" x14ac:dyDescent="0.25">
      <c r="A4" s="7" t="s">
        <v>435</v>
      </c>
      <c r="B4" s="7" t="s">
        <v>63</v>
      </c>
      <c r="C4" s="7" t="s">
        <v>436</v>
      </c>
      <c r="D4" s="37">
        <f t="shared" ref="D4:AI4" si="0">DATE(start_year,D5,1)</f>
        <v>46357</v>
      </c>
      <c r="E4" s="37">
        <f t="shared" si="0"/>
        <v>46388</v>
      </c>
      <c r="F4" s="37">
        <f t="shared" si="0"/>
        <v>46419</v>
      </c>
      <c r="G4" s="37">
        <f t="shared" si="0"/>
        <v>46447</v>
      </c>
      <c r="H4" s="37">
        <f t="shared" si="0"/>
        <v>46478</v>
      </c>
      <c r="I4" s="37">
        <f t="shared" si="0"/>
        <v>46508</v>
      </c>
      <c r="J4" s="37">
        <f t="shared" si="0"/>
        <v>46539</v>
      </c>
      <c r="K4" s="37">
        <f t="shared" si="0"/>
        <v>46569</v>
      </c>
      <c r="L4" s="37">
        <f t="shared" si="0"/>
        <v>46600</v>
      </c>
      <c r="M4" s="37">
        <f t="shared" si="0"/>
        <v>46631</v>
      </c>
      <c r="N4" s="37">
        <f t="shared" si="0"/>
        <v>46661</v>
      </c>
      <c r="O4" s="37">
        <f t="shared" si="0"/>
        <v>46692</v>
      </c>
      <c r="P4" s="37">
        <f t="shared" si="0"/>
        <v>46722</v>
      </c>
      <c r="Q4" s="37">
        <f t="shared" si="0"/>
        <v>46753</v>
      </c>
      <c r="R4" s="37">
        <f t="shared" si="0"/>
        <v>46784</v>
      </c>
      <c r="S4" s="37">
        <f t="shared" si="0"/>
        <v>46813</v>
      </c>
      <c r="T4" s="37">
        <f t="shared" si="0"/>
        <v>46844</v>
      </c>
      <c r="U4" s="37">
        <f t="shared" si="0"/>
        <v>46874</v>
      </c>
      <c r="V4" s="37">
        <f t="shared" si="0"/>
        <v>46905</v>
      </c>
      <c r="W4" s="37">
        <f t="shared" si="0"/>
        <v>46935</v>
      </c>
      <c r="X4" s="37">
        <f t="shared" si="0"/>
        <v>46966</v>
      </c>
      <c r="Y4" s="37">
        <f t="shared" si="0"/>
        <v>46997</v>
      </c>
      <c r="Z4" s="37">
        <f t="shared" si="0"/>
        <v>47027</v>
      </c>
      <c r="AA4" s="37">
        <f t="shared" si="0"/>
        <v>47058</v>
      </c>
      <c r="AB4" s="37">
        <f t="shared" si="0"/>
        <v>47088</v>
      </c>
      <c r="AC4" s="37">
        <f t="shared" si="0"/>
        <v>47119</v>
      </c>
      <c r="AD4" s="37">
        <f t="shared" si="0"/>
        <v>47150</v>
      </c>
      <c r="AE4" s="37">
        <f t="shared" si="0"/>
        <v>47178</v>
      </c>
      <c r="AF4" s="37">
        <f t="shared" si="0"/>
        <v>47209</v>
      </c>
      <c r="AG4" s="37">
        <f t="shared" si="0"/>
        <v>47239</v>
      </c>
      <c r="AH4" s="37">
        <f t="shared" si="0"/>
        <v>47270</v>
      </c>
      <c r="AI4" s="37">
        <f t="shared" si="0"/>
        <v>47300</v>
      </c>
      <c r="AJ4" s="37">
        <f t="shared" ref="AJ4:BO4" si="1">DATE(start_year,AJ5,1)</f>
        <v>47331</v>
      </c>
      <c r="AK4" s="37">
        <f t="shared" si="1"/>
        <v>47362</v>
      </c>
      <c r="AL4" s="37">
        <f t="shared" si="1"/>
        <v>47392</v>
      </c>
      <c r="AM4" s="37">
        <f t="shared" si="1"/>
        <v>47423</v>
      </c>
      <c r="AN4" s="37">
        <f t="shared" si="1"/>
        <v>47453</v>
      </c>
      <c r="AO4" s="37">
        <f t="shared" si="1"/>
        <v>47484</v>
      </c>
      <c r="AP4" s="37">
        <f t="shared" si="1"/>
        <v>47515</v>
      </c>
      <c r="AQ4" s="37">
        <f t="shared" si="1"/>
        <v>47543</v>
      </c>
      <c r="AR4" s="37">
        <f t="shared" si="1"/>
        <v>47574</v>
      </c>
      <c r="AS4" s="37">
        <f t="shared" si="1"/>
        <v>47604</v>
      </c>
      <c r="AT4" s="37">
        <f t="shared" si="1"/>
        <v>47635</v>
      </c>
      <c r="AU4" s="37">
        <f t="shared" si="1"/>
        <v>47665</v>
      </c>
      <c r="AV4" s="37">
        <f t="shared" si="1"/>
        <v>47696</v>
      </c>
      <c r="AW4" s="37">
        <f t="shared" si="1"/>
        <v>47727</v>
      </c>
      <c r="AX4" s="37">
        <f t="shared" si="1"/>
        <v>47757</v>
      </c>
      <c r="AY4" s="37">
        <f t="shared" si="1"/>
        <v>47788</v>
      </c>
      <c r="AZ4" s="37">
        <f t="shared" si="1"/>
        <v>47818</v>
      </c>
      <c r="BA4" s="37">
        <f t="shared" si="1"/>
        <v>47849</v>
      </c>
      <c r="BB4" s="37">
        <f t="shared" si="1"/>
        <v>47880</v>
      </c>
      <c r="BC4" s="37">
        <f t="shared" si="1"/>
        <v>47908</v>
      </c>
      <c r="BD4" s="37">
        <f t="shared" si="1"/>
        <v>47939</v>
      </c>
      <c r="BE4" s="37">
        <f t="shared" si="1"/>
        <v>47969</v>
      </c>
      <c r="BF4" s="37">
        <f t="shared" si="1"/>
        <v>48000</v>
      </c>
      <c r="BG4" s="37">
        <f t="shared" si="1"/>
        <v>48030</v>
      </c>
      <c r="BH4" s="37">
        <f t="shared" si="1"/>
        <v>48061</v>
      </c>
      <c r="BI4" s="37">
        <f t="shared" si="1"/>
        <v>48092</v>
      </c>
      <c r="BJ4" s="37">
        <f t="shared" si="1"/>
        <v>48122</v>
      </c>
      <c r="BK4" s="37">
        <f t="shared" si="1"/>
        <v>48153</v>
      </c>
      <c r="BL4" s="37">
        <f t="shared" si="1"/>
        <v>48183</v>
      </c>
    </row>
    <row r="5" spans="1:64" x14ac:dyDescent="0.25">
      <c r="A5" s="21" t="s">
        <v>437</v>
      </c>
      <c r="D5" s="38">
        <v>0</v>
      </c>
      <c r="E5" s="38">
        <f t="shared" ref="E5:AJ5" si="2">D5+1</f>
        <v>1</v>
      </c>
      <c r="F5" s="38">
        <f t="shared" si="2"/>
        <v>2</v>
      </c>
      <c r="G5" s="38">
        <f t="shared" si="2"/>
        <v>3</v>
      </c>
      <c r="H5" s="38">
        <f t="shared" si="2"/>
        <v>4</v>
      </c>
      <c r="I5" s="38">
        <f t="shared" si="2"/>
        <v>5</v>
      </c>
      <c r="J5" s="38">
        <f t="shared" si="2"/>
        <v>6</v>
      </c>
      <c r="K5" s="38">
        <f t="shared" si="2"/>
        <v>7</v>
      </c>
      <c r="L5" s="38">
        <f t="shared" si="2"/>
        <v>8</v>
      </c>
      <c r="M5" s="38">
        <f t="shared" si="2"/>
        <v>9</v>
      </c>
      <c r="N5" s="38">
        <f t="shared" si="2"/>
        <v>10</v>
      </c>
      <c r="O5" s="38">
        <f t="shared" si="2"/>
        <v>11</v>
      </c>
      <c r="P5" s="38">
        <f t="shared" si="2"/>
        <v>12</v>
      </c>
      <c r="Q5" s="38">
        <f t="shared" si="2"/>
        <v>13</v>
      </c>
      <c r="R5" s="38">
        <f t="shared" si="2"/>
        <v>14</v>
      </c>
      <c r="S5" s="38">
        <f t="shared" si="2"/>
        <v>15</v>
      </c>
      <c r="T5" s="38">
        <f t="shared" si="2"/>
        <v>16</v>
      </c>
      <c r="U5" s="38">
        <f t="shared" si="2"/>
        <v>17</v>
      </c>
      <c r="V5" s="38">
        <f t="shared" si="2"/>
        <v>18</v>
      </c>
      <c r="W5" s="38">
        <f t="shared" si="2"/>
        <v>19</v>
      </c>
      <c r="X5" s="38">
        <f t="shared" si="2"/>
        <v>20</v>
      </c>
      <c r="Y5" s="38">
        <f t="shared" si="2"/>
        <v>21</v>
      </c>
      <c r="Z5" s="38">
        <f t="shared" si="2"/>
        <v>22</v>
      </c>
      <c r="AA5" s="38">
        <f t="shared" si="2"/>
        <v>23</v>
      </c>
      <c r="AB5" s="38">
        <f t="shared" si="2"/>
        <v>24</v>
      </c>
      <c r="AC5" s="38">
        <f t="shared" si="2"/>
        <v>25</v>
      </c>
      <c r="AD5" s="38">
        <f t="shared" si="2"/>
        <v>26</v>
      </c>
      <c r="AE5" s="38">
        <f t="shared" si="2"/>
        <v>27</v>
      </c>
      <c r="AF5" s="38">
        <f t="shared" si="2"/>
        <v>28</v>
      </c>
      <c r="AG5" s="38">
        <f t="shared" si="2"/>
        <v>29</v>
      </c>
      <c r="AH5" s="38">
        <f t="shared" si="2"/>
        <v>30</v>
      </c>
      <c r="AI5" s="38">
        <f t="shared" si="2"/>
        <v>31</v>
      </c>
      <c r="AJ5" s="38">
        <f t="shared" si="2"/>
        <v>32</v>
      </c>
      <c r="AK5" s="38">
        <f t="shared" ref="AK5:BL5" si="3">AJ5+1</f>
        <v>33</v>
      </c>
      <c r="AL5" s="38">
        <f t="shared" si="3"/>
        <v>34</v>
      </c>
      <c r="AM5" s="38">
        <f t="shared" si="3"/>
        <v>35</v>
      </c>
      <c r="AN5" s="38">
        <f t="shared" si="3"/>
        <v>36</v>
      </c>
      <c r="AO5" s="38">
        <f t="shared" si="3"/>
        <v>37</v>
      </c>
      <c r="AP5" s="38">
        <f t="shared" si="3"/>
        <v>38</v>
      </c>
      <c r="AQ5" s="38">
        <f t="shared" si="3"/>
        <v>39</v>
      </c>
      <c r="AR5" s="38">
        <f t="shared" si="3"/>
        <v>40</v>
      </c>
      <c r="AS5" s="38">
        <f t="shared" si="3"/>
        <v>41</v>
      </c>
      <c r="AT5" s="38">
        <f t="shared" si="3"/>
        <v>42</v>
      </c>
      <c r="AU5" s="38">
        <f t="shared" si="3"/>
        <v>43</v>
      </c>
      <c r="AV5" s="38">
        <f t="shared" si="3"/>
        <v>44</v>
      </c>
      <c r="AW5" s="38">
        <f t="shared" si="3"/>
        <v>45</v>
      </c>
      <c r="AX5" s="38">
        <f t="shared" si="3"/>
        <v>46</v>
      </c>
      <c r="AY5" s="38">
        <f t="shared" si="3"/>
        <v>47</v>
      </c>
      <c r="AZ5" s="38">
        <f t="shared" si="3"/>
        <v>48</v>
      </c>
      <c r="BA5" s="38">
        <f t="shared" si="3"/>
        <v>49</v>
      </c>
      <c r="BB5" s="38">
        <f t="shared" si="3"/>
        <v>50</v>
      </c>
      <c r="BC5" s="38">
        <f t="shared" si="3"/>
        <v>51</v>
      </c>
      <c r="BD5" s="38">
        <f t="shared" si="3"/>
        <v>52</v>
      </c>
      <c r="BE5" s="38">
        <f t="shared" si="3"/>
        <v>53</v>
      </c>
      <c r="BF5" s="38">
        <f t="shared" si="3"/>
        <v>54</v>
      </c>
      <c r="BG5" s="38">
        <f t="shared" si="3"/>
        <v>55</v>
      </c>
      <c r="BH5" s="38">
        <f t="shared" si="3"/>
        <v>56</v>
      </c>
      <c r="BI5" s="38">
        <f t="shared" si="3"/>
        <v>57</v>
      </c>
      <c r="BJ5" s="38">
        <f t="shared" si="3"/>
        <v>58</v>
      </c>
      <c r="BK5" s="38">
        <f t="shared" si="3"/>
        <v>59</v>
      </c>
      <c r="BL5" s="38">
        <f t="shared" si="3"/>
        <v>60</v>
      </c>
    </row>
    <row r="6" spans="1:64" x14ac:dyDescent="0.25">
      <c r="A6" s="21" t="s">
        <v>438</v>
      </c>
      <c r="D6" s="38">
        <f t="shared" ref="D6:AI6" si="4">start_year+INT((D5-1)/12)</f>
        <v>2026</v>
      </c>
      <c r="E6" s="38">
        <f t="shared" si="4"/>
        <v>2027</v>
      </c>
      <c r="F6" s="38">
        <f t="shared" si="4"/>
        <v>2027</v>
      </c>
      <c r="G6" s="38">
        <f t="shared" si="4"/>
        <v>2027</v>
      </c>
      <c r="H6" s="38">
        <f t="shared" si="4"/>
        <v>2027</v>
      </c>
      <c r="I6" s="38">
        <f t="shared" si="4"/>
        <v>2027</v>
      </c>
      <c r="J6" s="38">
        <f t="shared" si="4"/>
        <v>2027</v>
      </c>
      <c r="K6" s="38">
        <f t="shared" si="4"/>
        <v>2027</v>
      </c>
      <c r="L6" s="38">
        <f t="shared" si="4"/>
        <v>2027</v>
      </c>
      <c r="M6" s="38">
        <f t="shared" si="4"/>
        <v>2027</v>
      </c>
      <c r="N6" s="38">
        <f t="shared" si="4"/>
        <v>2027</v>
      </c>
      <c r="O6" s="38">
        <f t="shared" si="4"/>
        <v>2027</v>
      </c>
      <c r="P6" s="38">
        <f t="shared" si="4"/>
        <v>2027</v>
      </c>
      <c r="Q6" s="38">
        <f t="shared" si="4"/>
        <v>2028</v>
      </c>
      <c r="R6" s="38">
        <f t="shared" si="4"/>
        <v>2028</v>
      </c>
      <c r="S6" s="38">
        <f t="shared" si="4"/>
        <v>2028</v>
      </c>
      <c r="T6" s="38">
        <f t="shared" si="4"/>
        <v>2028</v>
      </c>
      <c r="U6" s="38">
        <f t="shared" si="4"/>
        <v>2028</v>
      </c>
      <c r="V6" s="38">
        <f t="shared" si="4"/>
        <v>2028</v>
      </c>
      <c r="W6" s="38">
        <f t="shared" si="4"/>
        <v>2028</v>
      </c>
      <c r="X6" s="38">
        <f t="shared" si="4"/>
        <v>2028</v>
      </c>
      <c r="Y6" s="38">
        <f t="shared" si="4"/>
        <v>2028</v>
      </c>
      <c r="Z6" s="38">
        <f t="shared" si="4"/>
        <v>2028</v>
      </c>
      <c r="AA6" s="38">
        <f t="shared" si="4"/>
        <v>2028</v>
      </c>
      <c r="AB6" s="38">
        <f t="shared" si="4"/>
        <v>2028</v>
      </c>
      <c r="AC6" s="38">
        <f t="shared" si="4"/>
        <v>2029</v>
      </c>
      <c r="AD6" s="38">
        <f t="shared" si="4"/>
        <v>2029</v>
      </c>
      <c r="AE6" s="38">
        <f t="shared" si="4"/>
        <v>2029</v>
      </c>
      <c r="AF6" s="38">
        <f t="shared" si="4"/>
        <v>2029</v>
      </c>
      <c r="AG6" s="38">
        <f t="shared" si="4"/>
        <v>2029</v>
      </c>
      <c r="AH6" s="38">
        <f t="shared" si="4"/>
        <v>2029</v>
      </c>
      <c r="AI6" s="38">
        <f t="shared" si="4"/>
        <v>2029</v>
      </c>
      <c r="AJ6" s="38">
        <f t="shared" ref="AJ6:BO6" si="5">start_year+INT((AJ5-1)/12)</f>
        <v>2029</v>
      </c>
      <c r="AK6" s="38">
        <f t="shared" si="5"/>
        <v>2029</v>
      </c>
      <c r="AL6" s="38">
        <f t="shared" si="5"/>
        <v>2029</v>
      </c>
      <c r="AM6" s="38">
        <f t="shared" si="5"/>
        <v>2029</v>
      </c>
      <c r="AN6" s="38">
        <f t="shared" si="5"/>
        <v>2029</v>
      </c>
      <c r="AO6" s="38">
        <f t="shared" si="5"/>
        <v>2030</v>
      </c>
      <c r="AP6" s="38">
        <f t="shared" si="5"/>
        <v>2030</v>
      </c>
      <c r="AQ6" s="38">
        <f t="shared" si="5"/>
        <v>2030</v>
      </c>
      <c r="AR6" s="38">
        <f t="shared" si="5"/>
        <v>2030</v>
      </c>
      <c r="AS6" s="38">
        <f t="shared" si="5"/>
        <v>2030</v>
      </c>
      <c r="AT6" s="38">
        <f t="shared" si="5"/>
        <v>2030</v>
      </c>
      <c r="AU6" s="38">
        <f t="shared" si="5"/>
        <v>2030</v>
      </c>
      <c r="AV6" s="38">
        <f t="shared" si="5"/>
        <v>2030</v>
      </c>
      <c r="AW6" s="38">
        <f t="shared" si="5"/>
        <v>2030</v>
      </c>
      <c r="AX6" s="38">
        <f t="shared" si="5"/>
        <v>2030</v>
      </c>
      <c r="AY6" s="38">
        <f t="shared" si="5"/>
        <v>2030</v>
      </c>
      <c r="AZ6" s="38">
        <f t="shared" si="5"/>
        <v>2030</v>
      </c>
      <c r="BA6" s="38">
        <f t="shared" si="5"/>
        <v>2031</v>
      </c>
      <c r="BB6" s="38">
        <f t="shared" si="5"/>
        <v>2031</v>
      </c>
      <c r="BC6" s="38">
        <f t="shared" si="5"/>
        <v>2031</v>
      </c>
      <c r="BD6" s="38">
        <f t="shared" si="5"/>
        <v>2031</v>
      </c>
      <c r="BE6" s="38">
        <f t="shared" si="5"/>
        <v>2031</v>
      </c>
      <c r="BF6" s="38">
        <f t="shared" si="5"/>
        <v>2031</v>
      </c>
      <c r="BG6" s="38">
        <f t="shared" si="5"/>
        <v>2031</v>
      </c>
      <c r="BH6" s="38">
        <f t="shared" si="5"/>
        <v>2031</v>
      </c>
      <c r="BI6" s="38">
        <f t="shared" si="5"/>
        <v>2031</v>
      </c>
      <c r="BJ6" s="38">
        <f t="shared" si="5"/>
        <v>2031</v>
      </c>
      <c r="BK6" s="38">
        <f t="shared" si="5"/>
        <v>2031</v>
      </c>
      <c r="BL6" s="38">
        <f t="shared" si="5"/>
        <v>2031</v>
      </c>
    </row>
    <row r="8" spans="1:64" x14ac:dyDescent="0.25">
      <c r="A8" s="19" t="s">
        <v>439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</row>
    <row r="9" spans="1:64" x14ac:dyDescent="0.25">
      <c r="A9" s="8" t="s">
        <v>440</v>
      </c>
      <c r="B9" s="10" t="s">
        <v>66</v>
      </c>
      <c r="C9" s="39" t="s">
        <v>441</v>
      </c>
      <c r="D9" s="24">
        <f t="shared" ref="D9:AI9" si="6">INT((D5-1)/12)</f>
        <v>-1</v>
      </c>
      <c r="E9" s="24">
        <f t="shared" si="6"/>
        <v>0</v>
      </c>
      <c r="F9" s="24">
        <f t="shared" si="6"/>
        <v>0</v>
      </c>
      <c r="G9" s="24">
        <f t="shared" si="6"/>
        <v>0</v>
      </c>
      <c r="H9" s="24">
        <f t="shared" si="6"/>
        <v>0</v>
      </c>
      <c r="I9" s="24">
        <f t="shared" si="6"/>
        <v>0</v>
      </c>
      <c r="J9" s="24">
        <f t="shared" si="6"/>
        <v>0</v>
      </c>
      <c r="K9" s="24">
        <f t="shared" si="6"/>
        <v>0</v>
      </c>
      <c r="L9" s="24">
        <f t="shared" si="6"/>
        <v>0</v>
      </c>
      <c r="M9" s="24">
        <f t="shared" si="6"/>
        <v>0</v>
      </c>
      <c r="N9" s="24">
        <f t="shared" si="6"/>
        <v>0</v>
      </c>
      <c r="O9" s="24">
        <f t="shared" si="6"/>
        <v>0</v>
      </c>
      <c r="P9" s="24">
        <f t="shared" si="6"/>
        <v>0</v>
      </c>
      <c r="Q9" s="24">
        <f t="shared" si="6"/>
        <v>1</v>
      </c>
      <c r="R9" s="24">
        <f t="shared" si="6"/>
        <v>1</v>
      </c>
      <c r="S9" s="24">
        <f t="shared" si="6"/>
        <v>1</v>
      </c>
      <c r="T9" s="24">
        <f t="shared" si="6"/>
        <v>1</v>
      </c>
      <c r="U9" s="24">
        <f t="shared" si="6"/>
        <v>1</v>
      </c>
      <c r="V9" s="24">
        <f t="shared" si="6"/>
        <v>1</v>
      </c>
      <c r="W9" s="24">
        <f t="shared" si="6"/>
        <v>1</v>
      </c>
      <c r="X9" s="24">
        <f t="shared" si="6"/>
        <v>1</v>
      </c>
      <c r="Y9" s="24">
        <f t="shared" si="6"/>
        <v>1</v>
      </c>
      <c r="Z9" s="24">
        <f t="shared" si="6"/>
        <v>1</v>
      </c>
      <c r="AA9" s="24">
        <f t="shared" si="6"/>
        <v>1</v>
      </c>
      <c r="AB9" s="24">
        <f t="shared" si="6"/>
        <v>1</v>
      </c>
      <c r="AC9" s="24">
        <f t="shared" si="6"/>
        <v>2</v>
      </c>
      <c r="AD9" s="24">
        <f t="shared" si="6"/>
        <v>2</v>
      </c>
      <c r="AE9" s="24">
        <f t="shared" si="6"/>
        <v>2</v>
      </c>
      <c r="AF9" s="24">
        <f t="shared" si="6"/>
        <v>2</v>
      </c>
      <c r="AG9" s="24">
        <f t="shared" si="6"/>
        <v>2</v>
      </c>
      <c r="AH9" s="24">
        <f t="shared" si="6"/>
        <v>2</v>
      </c>
      <c r="AI9" s="24">
        <f t="shared" si="6"/>
        <v>2</v>
      </c>
      <c r="AJ9" s="24">
        <f t="shared" ref="AJ9:BL9" si="7">INT((AJ5-1)/12)</f>
        <v>2</v>
      </c>
      <c r="AK9" s="24">
        <f t="shared" si="7"/>
        <v>2</v>
      </c>
      <c r="AL9" s="24">
        <f t="shared" si="7"/>
        <v>2</v>
      </c>
      <c r="AM9" s="24">
        <f t="shared" si="7"/>
        <v>2</v>
      </c>
      <c r="AN9" s="24">
        <f t="shared" si="7"/>
        <v>2</v>
      </c>
      <c r="AO9" s="24">
        <f t="shared" si="7"/>
        <v>3</v>
      </c>
      <c r="AP9" s="24">
        <f t="shared" si="7"/>
        <v>3</v>
      </c>
      <c r="AQ9" s="24">
        <f t="shared" si="7"/>
        <v>3</v>
      </c>
      <c r="AR9" s="24">
        <f t="shared" si="7"/>
        <v>3</v>
      </c>
      <c r="AS9" s="24">
        <f t="shared" si="7"/>
        <v>3</v>
      </c>
      <c r="AT9" s="24">
        <f t="shared" si="7"/>
        <v>3</v>
      </c>
      <c r="AU9" s="24">
        <f t="shared" si="7"/>
        <v>3</v>
      </c>
      <c r="AV9" s="24">
        <f t="shared" si="7"/>
        <v>3</v>
      </c>
      <c r="AW9" s="24">
        <f t="shared" si="7"/>
        <v>3</v>
      </c>
      <c r="AX9" s="24">
        <f t="shared" si="7"/>
        <v>3</v>
      </c>
      <c r="AY9" s="24">
        <f t="shared" si="7"/>
        <v>3</v>
      </c>
      <c r="AZ9" s="24">
        <f t="shared" si="7"/>
        <v>3</v>
      </c>
      <c r="BA9" s="24">
        <f t="shared" si="7"/>
        <v>4</v>
      </c>
      <c r="BB9" s="24">
        <f t="shared" si="7"/>
        <v>4</v>
      </c>
      <c r="BC9" s="24">
        <f t="shared" si="7"/>
        <v>4</v>
      </c>
      <c r="BD9" s="24">
        <f t="shared" si="7"/>
        <v>4</v>
      </c>
      <c r="BE9" s="24">
        <f t="shared" si="7"/>
        <v>4</v>
      </c>
      <c r="BF9" s="24">
        <f t="shared" si="7"/>
        <v>4</v>
      </c>
      <c r="BG9" s="24">
        <f t="shared" si="7"/>
        <v>4</v>
      </c>
      <c r="BH9" s="24">
        <f t="shared" si="7"/>
        <v>4</v>
      </c>
      <c r="BI9" s="24">
        <f t="shared" si="7"/>
        <v>4</v>
      </c>
      <c r="BJ9" s="24">
        <f t="shared" si="7"/>
        <v>4</v>
      </c>
      <c r="BK9" s="24">
        <f t="shared" si="7"/>
        <v>4</v>
      </c>
      <c r="BL9" s="24">
        <f t="shared" si="7"/>
        <v>4</v>
      </c>
    </row>
    <row r="10" spans="1:64" x14ac:dyDescent="0.25">
      <c r="A10" s="8" t="s">
        <v>442</v>
      </c>
      <c r="B10" s="10" t="s">
        <v>66</v>
      </c>
      <c r="D10" s="24">
        <f t="shared" ref="D10:AI10" si="8">MOD(D5-1,12)+1</f>
        <v>12</v>
      </c>
      <c r="E10" s="24">
        <f t="shared" si="8"/>
        <v>1</v>
      </c>
      <c r="F10" s="24">
        <f t="shared" si="8"/>
        <v>2</v>
      </c>
      <c r="G10" s="24">
        <f t="shared" si="8"/>
        <v>3</v>
      </c>
      <c r="H10" s="24">
        <f t="shared" si="8"/>
        <v>4</v>
      </c>
      <c r="I10" s="24">
        <f t="shared" si="8"/>
        <v>5</v>
      </c>
      <c r="J10" s="24">
        <f t="shared" si="8"/>
        <v>6</v>
      </c>
      <c r="K10" s="24">
        <f t="shared" si="8"/>
        <v>7</v>
      </c>
      <c r="L10" s="24">
        <f t="shared" si="8"/>
        <v>8</v>
      </c>
      <c r="M10" s="24">
        <f t="shared" si="8"/>
        <v>9</v>
      </c>
      <c r="N10" s="24">
        <f t="shared" si="8"/>
        <v>10</v>
      </c>
      <c r="O10" s="24">
        <f t="shared" si="8"/>
        <v>11</v>
      </c>
      <c r="P10" s="24">
        <f t="shared" si="8"/>
        <v>12</v>
      </c>
      <c r="Q10" s="24">
        <f t="shared" si="8"/>
        <v>1</v>
      </c>
      <c r="R10" s="24">
        <f t="shared" si="8"/>
        <v>2</v>
      </c>
      <c r="S10" s="24">
        <f t="shared" si="8"/>
        <v>3</v>
      </c>
      <c r="T10" s="24">
        <f t="shared" si="8"/>
        <v>4</v>
      </c>
      <c r="U10" s="24">
        <f t="shared" si="8"/>
        <v>5</v>
      </c>
      <c r="V10" s="24">
        <f t="shared" si="8"/>
        <v>6</v>
      </c>
      <c r="W10" s="24">
        <f t="shared" si="8"/>
        <v>7</v>
      </c>
      <c r="X10" s="24">
        <f t="shared" si="8"/>
        <v>8</v>
      </c>
      <c r="Y10" s="24">
        <f t="shared" si="8"/>
        <v>9</v>
      </c>
      <c r="Z10" s="24">
        <f t="shared" si="8"/>
        <v>10</v>
      </c>
      <c r="AA10" s="24">
        <f t="shared" si="8"/>
        <v>11</v>
      </c>
      <c r="AB10" s="24">
        <f t="shared" si="8"/>
        <v>12</v>
      </c>
      <c r="AC10" s="24">
        <f t="shared" si="8"/>
        <v>1</v>
      </c>
      <c r="AD10" s="24">
        <f t="shared" si="8"/>
        <v>2</v>
      </c>
      <c r="AE10" s="24">
        <f t="shared" si="8"/>
        <v>3</v>
      </c>
      <c r="AF10" s="24">
        <f t="shared" si="8"/>
        <v>4</v>
      </c>
      <c r="AG10" s="24">
        <f t="shared" si="8"/>
        <v>5</v>
      </c>
      <c r="AH10" s="24">
        <f t="shared" si="8"/>
        <v>6</v>
      </c>
      <c r="AI10" s="24">
        <f t="shared" si="8"/>
        <v>7</v>
      </c>
      <c r="AJ10" s="24">
        <f t="shared" ref="AJ10:BL10" si="9">MOD(AJ5-1,12)+1</f>
        <v>8</v>
      </c>
      <c r="AK10" s="24">
        <f t="shared" si="9"/>
        <v>9</v>
      </c>
      <c r="AL10" s="24">
        <f t="shared" si="9"/>
        <v>10</v>
      </c>
      <c r="AM10" s="24">
        <f t="shared" si="9"/>
        <v>11</v>
      </c>
      <c r="AN10" s="24">
        <f t="shared" si="9"/>
        <v>12</v>
      </c>
      <c r="AO10" s="24">
        <f t="shared" si="9"/>
        <v>1</v>
      </c>
      <c r="AP10" s="24">
        <f t="shared" si="9"/>
        <v>2</v>
      </c>
      <c r="AQ10" s="24">
        <f t="shared" si="9"/>
        <v>3</v>
      </c>
      <c r="AR10" s="24">
        <f t="shared" si="9"/>
        <v>4</v>
      </c>
      <c r="AS10" s="24">
        <f t="shared" si="9"/>
        <v>5</v>
      </c>
      <c r="AT10" s="24">
        <f t="shared" si="9"/>
        <v>6</v>
      </c>
      <c r="AU10" s="24">
        <f t="shared" si="9"/>
        <v>7</v>
      </c>
      <c r="AV10" s="24">
        <f t="shared" si="9"/>
        <v>8</v>
      </c>
      <c r="AW10" s="24">
        <f t="shared" si="9"/>
        <v>9</v>
      </c>
      <c r="AX10" s="24">
        <f t="shared" si="9"/>
        <v>10</v>
      </c>
      <c r="AY10" s="24">
        <f t="shared" si="9"/>
        <v>11</v>
      </c>
      <c r="AZ10" s="24">
        <f t="shared" si="9"/>
        <v>12</v>
      </c>
      <c r="BA10" s="24">
        <f t="shared" si="9"/>
        <v>1</v>
      </c>
      <c r="BB10" s="24">
        <f t="shared" si="9"/>
        <v>2</v>
      </c>
      <c r="BC10" s="24">
        <f t="shared" si="9"/>
        <v>3</v>
      </c>
      <c r="BD10" s="24">
        <f t="shared" si="9"/>
        <v>4</v>
      </c>
      <c r="BE10" s="24">
        <f t="shared" si="9"/>
        <v>5</v>
      </c>
      <c r="BF10" s="24">
        <f t="shared" si="9"/>
        <v>6</v>
      </c>
      <c r="BG10" s="24">
        <f t="shared" si="9"/>
        <v>7</v>
      </c>
      <c r="BH10" s="24">
        <f t="shared" si="9"/>
        <v>8</v>
      </c>
      <c r="BI10" s="24">
        <f t="shared" si="9"/>
        <v>9</v>
      </c>
      <c r="BJ10" s="24">
        <f t="shared" si="9"/>
        <v>10</v>
      </c>
      <c r="BK10" s="24">
        <f t="shared" si="9"/>
        <v>11</v>
      </c>
      <c r="BL10" s="24">
        <f t="shared" si="9"/>
        <v>12</v>
      </c>
    </row>
    <row r="11" spans="1:64" x14ac:dyDescent="0.25">
      <c r="A11" s="19" t="s">
        <v>208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</row>
    <row r="12" spans="1:64" x14ac:dyDescent="0.25">
      <c r="A12" s="8" t="s">
        <v>443</v>
      </c>
      <c r="B12" s="10" t="s">
        <v>444</v>
      </c>
      <c r="E12" s="40">
        <f t="shared" ref="E12:AJ12" si="10">sub_price*(1+sub_price_step)^E9</f>
        <v>12</v>
      </c>
      <c r="F12" s="40">
        <f t="shared" si="10"/>
        <v>12</v>
      </c>
      <c r="G12" s="40">
        <f t="shared" si="10"/>
        <v>12</v>
      </c>
      <c r="H12" s="40">
        <f t="shared" si="10"/>
        <v>12</v>
      </c>
      <c r="I12" s="40">
        <f t="shared" si="10"/>
        <v>12</v>
      </c>
      <c r="J12" s="40">
        <f t="shared" si="10"/>
        <v>12</v>
      </c>
      <c r="K12" s="40">
        <f t="shared" si="10"/>
        <v>12</v>
      </c>
      <c r="L12" s="40">
        <f t="shared" si="10"/>
        <v>12</v>
      </c>
      <c r="M12" s="40">
        <f t="shared" si="10"/>
        <v>12</v>
      </c>
      <c r="N12" s="40">
        <f t="shared" si="10"/>
        <v>12</v>
      </c>
      <c r="O12" s="40">
        <f t="shared" si="10"/>
        <v>12</v>
      </c>
      <c r="P12" s="40">
        <f t="shared" si="10"/>
        <v>12</v>
      </c>
      <c r="Q12" s="40">
        <f t="shared" si="10"/>
        <v>12.48</v>
      </c>
      <c r="R12" s="40">
        <f t="shared" si="10"/>
        <v>12.48</v>
      </c>
      <c r="S12" s="40">
        <f t="shared" si="10"/>
        <v>12.48</v>
      </c>
      <c r="T12" s="40">
        <f t="shared" si="10"/>
        <v>12.48</v>
      </c>
      <c r="U12" s="40">
        <f t="shared" si="10"/>
        <v>12.48</v>
      </c>
      <c r="V12" s="40">
        <f t="shared" si="10"/>
        <v>12.48</v>
      </c>
      <c r="W12" s="40">
        <f t="shared" si="10"/>
        <v>12.48</v>
      </c>
      <c r="X12" s="40">
        <f t="shared" si="10"/>
        <v>12.48</v>
      </c>
      <c r="Y12" s="40">
        <f t="shared" si="10"/>
        <v>12.48</v>
      </c>
      <c r="Z12" s="40">
        <f t="shared" si="10"/>
        <v>12.48</v>
      </c>
      <c r="AA12" s="40">
        <f t="shared" si="10"/>
        <v>12.48</v>
      </c>
      <c r="AB12" s="40">
        <f t="shared" si="10"/>
        <v>12.48</v>
      </c>
      <c r="AC12" s="40">
        <f t="shared" si="10"/>
        <v>12.979200000000002</v>
      </c>
      <c r="AD12" s="40">
        <f t="shared" si="10"/>
        <v>12.979200000000002</v>
      </c>
      <c r="AE12" s="40">
        <f t="shared" si="10"/>
        <v>12.979200000000002</v>
      </c>
      <c r="AF12" s="40">
        <f t="shared" si="10"/>
        <v>12.979200000000002</v>
      </c>
      <c r="AG12" s="40">
        <f t="shared" si="10"/>
        <v>12.979200000000002</v>
      </c>
      <c r="AH12" s="40">
        <f t="shared" si="10"/>
        <v>12.979200000000002</v>
      </c>
      <c r="AI12" s="40">
        <f t="shared" si="10"/>
        <v>12.979200000000002</v>
      </c>
      <c r="AJ12" s="40">
        <f t="shared" si="10"/>
        <v>12.979200000000002</v>
      </c>
      <c r="AK12" s="40">
        <f t="shared" ref="AK12:BL12" si="11">sub_price*(1+sub_price_step)^AK9</f>
        <v>12.979200000000002</v>
      </c>
      <c r="AL12" s="40">
        <f t="shared" si="11"/>
        <v>12.979200000000002</v>
      </c>
      <c r="AM12" s="40">
        <f t="shared" si="11"/>
        <v>12.979200000000002</v>
      </c>
      <c r="AN12" s="40">
        <f t="shared" si="11"/>
        <v>12.979200000000002</v>
      </c>
      <c r="AO12" s="40">
        <f t="shared" si="11"/>
        <v>13.498368000000001</v>
      </c>
      <c r="AP12" s="40">
        <f t="shared" si="11"/>
        <v>13.498368000000001</v>
      </c>
      <c r="AQ12" s="40">
        <f t="shared" si="11"/>
        <v>13.498368000000001</v>
      </c>
      <c r="AR12" s="40">
        <f t="shared" si="11"/>
        <v>13.498368000000001</v>
      </c>
      <c r="AS12" s="40">
        <f t="shared" si="11"/>
        <v>13.498368000000001</v>
      </c>
      <c r="AT12" s="40">
        <f t="shared" si="11"/>
        <v>13.498368000000001</v>
      </c>
      <c r="AU12" s="40">
        <f t="shared" si="11"/>
        <v>13.498368000000001</v>
      </c>
      <c r="AV12" s="40">
        <f t="shared" si="11"/>
        <v>13.498368000000001</v>
      </c>
      <c r="AW12" s="40">
        <f t="shared" si="11"/>
        <v>13.498368000000001</v>
      </c>
      <c r="AX12" s="40">
        <f t="shared" si="11"/>
        <v>13.498368000000001</v>
      </c>
      <c r="AY12" s="40">
        <f t="shared" si="11"/>
        <v>13.498368000000001</v>
      </c>
      <c r="AZ12" s="40">
        <f t="shared" si="11"/>
        <v>13.498368000000001</v>
      </c>
      <c r="BA12" s="40">
        <f t="shared" si="11"/>
        <v>14.038302720000003</v>
      </c>
      <c r="BB12" s="40">
        <f t="shared" si="11"/>
        <v>14.038302720000003</v>
      </c>
      <c r="BC12" s="40">
        <f t="shared" si="11"/>
        <v>14.038302720000003</v>
      </c>
      <c r="BD12" s="40">
        <f t="shared" si="11"/>
        <v>14.038302720000003</v>
      </c>
      <c r="BE12" s="40">
        <f t="shared" si="11"/>
        <v>14.038302720000003</v>
      </c>
      <c r="BF12" s="40">
        <f t="shared" si="11"/>
        <v>14.038302720000003</v>
      </c>
      <c r="BG12" s="40">
        <f t="shared" si="11"/>
        <v>14.038302720000003</v>
      </c>
      <c r="BH12" s="40">
        <f t="shared" si="11"/>
        <v>14.038302720000003</v>
      </c>
      <c r="BI12" s="40">
        <f t="shared" si="11"/>
        <v>14.038302720000003</v>
      </c>
      <c r="BJ12" s="40">
        <f t="shared" si="11"/>
        <v>14.038302720000003</v>
      </c>
      <c r="BK12" s="40">
        <f t="shared" si="11"/>
        <v>14.038302720000003</v>
      </c>
      <c r="BL12" s="40">
        <f t="shared" si="11"/>
        <v>14.038302720000003</v>
      </c>
    </row>
    <row r="13" spans="1:64" x14ac:dyDescent="0.25">
      <c r="A13" s="8" t="s">
        <v>445</v>
      </c>
      <c r="B13" s="10" t="s">
        <v>446</v>
      </c>
      <c r="E13" s="40">
        <f t="shared" ref="E13:AJ13" si="12">fee_price*(1+fee_step)^E9</f>
        <v>8</v>
      </c>
      <c r="F13" s="40">
        <f t="shared" si="12"/>
        <v>8</v>
      </c>
      <c r="G13" s="40">
        <f t="shared" si="12"/>
        <v>8</v>
      </c>
      <c r="H13" s="40">
        <f t="shared" si="12"/>
        <v>8</v>
      </c>
      <c r="I13" s="40">
        <f t="shared" si="12"/>
        <v>8</v>
      </c>
      <c r="J13" s="40">
        <f t="shared" si="12"/>
        <v>8</v>
      </c>
      <c r="K13" s="40">
        <f t="shared" si="12"/>
        <v>8</v>
      </c>
      <c r="L13" s="40">
        <f t="shared" si="12"/>
        <v>8</v>
      </c>
      <c r="M13" s="40">
        <f t="shared" si="12"/>
        <v>8</v>
      </c>
      <c r="N13" s="40">
        <f t="shared" si="12"/>
        <v>8</v>
      </c>
      <c r="O13" s="40">
        <f t="shared" si="12"/>
        <v>8</v>
      </c>
      <c r="P13" s="40">
        <f t="shared" si="12"/>
        <v>8</v>
      </c>
      <c r="Q13" s="40">
        <f t="shared" si="12"/>
        <v>8.24</v>
      </c>
      <c r="R13" s="40">
        <f t="shared" si="12"/>
        <v>8.24</v>
      </c>
      <c r="S13" s="40">
        <f t="shared" si="12"/>
        <v>8.24</v>
      </c>
      <c r="T13" s="40">
        <f t="shared" si="12"/>
        <v>8.24</v>
      </c>
      <c r="U13" s="40">
        <f t="shared" si="12"/>
        <v>8.24</v>
      </c>
      <c r="V13" s="40">
        <f t="shared" si="12"/>
        <v>8.24</v>
      </c>
      <c r="W13" s="40">
        <f t="shared" si="12"/>
        <v>8.24</v>
      </c>
      <c r="X13" s="40">
        <f t="shared" si="12"/>
        <v>8.24</v>
      </c>
      <c r="Y13" s="40">
        <f t="shared" si="12"/>
        <v>8.24</v>
      </c>
      <c r="Z13" s="40">
        <f t="shared" si="12"/>
        <v>8.24</v>
      </c>
      <c r="AA13" s="40">
        <f t="shared" si="12"/>
        <v>8.24</v>
      </c>
      <c r="AB13" s="40">
        <f t="shared" si="12"/>
        <v>8.24</v>
      </c>
      <c r="AC13" s="40">
        <f t="shared" si="12"/>
        <v>8.4871999999999996</v>
      </c>
      <c r="AD13" s="40">
        <f t="shared" si="12"/>
        <v>8.4871999999999996</v>
      </c>
      <c r="AE13" s="40">
        <f t="shared" si="12"/>
        <v>8.4871999999999996</v>
      </c>
      <c r="AF13" s="40">
        <f t="shared" si="12"/>
        <v>8.4871999999999996</v>
      </c>
      <c r="AG13" s="40">
        <f t="shared" si="12"/>
        <v>8.4871999999999996</v>
      </c>
      <c r="AH13" s="40">
        <f t="shared" si="12"/>
        <v>8.4871999999999996</v>
      </c>
      <c r="AI13" s="40">
        <f t="shared" si="12"/>
        <v>8.4871999999999996</v>
      </c>
      <c r="AJ13" s="40">
        <f t="shared" si="12"/>
        <v>8.4871999999999996</v>
      </c>
      <c r="AK13" s="40">
        <f t="shared" ref="AK13:BL13" si="13">fee_price*(1+fee_step)^AK9</f>
        <v>8.4871999999999996</v>
      </c>
      <c r="AL13" s="40">
        <f t="shared" si="13"/>
        <v>8.4871999999999996</v>
      </c>
      <c r="AM13" s="40">
        <f t="shared" si="13"/>
        <v>8.4871999999999996</v>
      </c>
      <c r="AN13" s="40">
        <f t="shared" si="13"/>
        <v>8.4871999999999996</v>
      </c>
      <c r="AO13" s="40">
        <f t="shared" si="13"/>
        <v>8.741816</v>
      </c>
      <c r="AP13" s="40">
        <f t="shared" si="13"/>
        <v>8.741816</v>
      </c>
      <c r="AQ13" s="40">
        <f t="shared" si="13"/>
        <v>8.741816</v>
      </c>
      <c r="AR13" s="40">
        <f t="shared" si="13"/>
        <v>8.741816</v>
      </c>
      <c r="AS13" s="40">
        <f t="shared" si="13"/>
        <v>8.741816</v>
      </c>
      <c r="AT13" s="40">
        <f t="shared" si="13"/>
        <v>8.741816</v>
      </c>
      <c r="AU13" s="40">
        <f t="shared" si="13"/>
        <v>8.741816</v>
      </c>
      <c r="AV13" s="40">
        <f t="shared" si="13"/>
        <v>8.741816</v>
      </c>
      <c r="AW13" s="40">
        <f t="shared" si="13"/>
        <v>8.741816</v>
      </c>
      <c r="AX13" s="40">
        <f t="shared" si="13"/>
        <v>8.741816</v>
      </c>
      <c r="AY13" s="40">
        <f t="shared" si="13"/>
        <v>8.741816</v>
      </c>
      <c r="AZ13" s="40">
        <f t="shared" si="13"/>
        <v>8.741816</v>
      </c>
      <c r="BA13" s="40">
        <f t="shared" si="13"/>
        <v>9.0040704799999993</v>
      </c>
      <c r="BB13" s="40">
        <f t="shared" si="13"/>
        <v>9.0040704799999993</v>
      </c>
      <c r="BC13" s="40">
        <f t="shared" si="13"/>
        <v>9.0040704799999993</v>
      </c>
      <c r="BD13" s="40">
        <f t="shared" si="13"/>
        <v>9.0040704799999993</v>
      </c>
      <c r="BE13" s="40">
        <f t="shared" si="13"/>
        <v>9.0040704799999993</v>
      </c>
      <c r="BF13" s="40">
        <f t="shared" si="13"/>
        <v>9.0040704799999993</v>
      </c>
      <c r="BG13" s="40">
        <f t="shared" si="13"/>
        <v>9.0040704799999993</v>
      </c>
      <c r="BH13" s="40">
        <f t="shared" si="13"/>
        <v>9.0040704799999993</v>
      </c>
      <c r="BI13" s="40">
        <f t="shared" si="13"/>
        <v>9.0040704799999993</v>
      </c>
      <c r="BJ13" s="40">
        <f t="shared" si="13"/>
        <v>9.0040704799999993</v>
      </c>
      <c r="BK13" s="40">
        <f t="shared" si="13"/>
        <v>9.0040704799999993</v>
      </c>
      <c r="BL13" s="40">
        <f t="shared" si="13"/>
        <v>9.0040704799999993</v>
      </c>
    </row>
    <row r="14" spans="1:64" x14ac:dyDescent="0.25">
      <c r="A14" s="8" t="s">
        <v>447</v>
      </c>
      <c r="B14" s="10" t="s">
        <v>129</v>
      </c>
      <c r="E14" s="41">
        <f t="shared" ref="E14:AJ14" si="14">MIN(fill_start+fill_step*E9,fill_cap)</f>
        <v>0.65</v>
      </c>
      <c r="F14" s="41">
        <f t="shared" si="14"/>
        <v>0.65</v>
      </c>
      <c r="G14" s="41">
        <f t="shared" si="14"/>
        <v>0.65</v>
      </c>
      <c r="H14" s="41">
        <f t="shared" si="14"/>
        <v>0.65</v>
      </c>
      <c r="I14" s="41">
        <f t="shared" si="14"/>
        <v>0.65</v>
      </c>
      <c r="J14" s="41">
        <f t="shared" si="14"/>
        <v>0.65</v>
      </c>
      <c r="K14" s="41">
        <f t="shared" si="14"/>
        <v>0.65</v>
      </c>
      <c r="L14" s="41">
        <f t="shared" si="14"/>
        <v>0.65</v>
      </c>
      <c r="M14" s="41">
        <f t="shared" si="14"/>
        <v>0.65</v>
      </c>
      <c r="N14" s="41">
        <f t="shared" si="14"/>
        <v>0.65</v>
      </c>
      <c r="O14" s="41">
        <f t="shared" si="14"/>
        <v>0.65</v>
      </c>
      <c r="P14" s="41">
        <f t="shared" si="14"/>
        <v>0.65</v>
      </c>
      <c r="Q14" s="41">
        <f t="shared" si="14"/>
        <v>0.67500000000000004</v>
      </c>
      <c r="R14" s="41">
        <f t="shared" si="14"/>
        <v>0.67500000000000004</v>
      </c>
      <c r="S14" s="41">
        <f t="shared" si="14"/>
        <v>0.67500000000000004</v>
      </c>
      <c r="T14" s="41">
        <f t="shared" si="14"/>
        <v>0.67500000000000004</v>
      </c>
      <c r="U14" s="41">
        <f t="shared" si="14"/>
        <v>0.67500000000000004</v>
      </c>
      <c r="V14" s="41">
        <f t="shared" si="14"/>
        <v>0.67500000000000004</v>
      </c>
      <c r="W14" s="41">
        <f t="shared" si="14"/>
        <v>0.67500000000000004</v>
      </c>
      <c r="X14" s="41">
        <f t="shared" si="14"/>
        <v>0.67500000000000004</v>
      </c>
      <c r="Y14" s="41">
        <f t="shared" si="14"/>
        <v>0.67500000000000004</v>
      </c>
      <c r="Z14" s="41">
        <f t="shared" si="14"/>
        <v>0.67500000000000004</v>
      </c>
      <c r="AA14" s="41">
        <f t="shared" si="14"/>
        <v>0.67500000000000004</v>
      </c>
      <c r="AB14" s="41">
        <f t="shared" si="14"/>
        <v>0.67500000000000004</v>
      </c>
      <c r="AC14" s="41">
        <f t="shared" si="14"/>
        <v>0.70000000000000007</v>
      </c>
      <c r="AD14" s="41">
        <f t="shared" si="14"/>
        <v>0.70000000000000007</v>
      </c>
      <c r="AE14" s="41">
        <f t="shared" si="14"/>
        <v>0.70000000000000007</v>
      </c>
      <c r="AF14" s="41">
        <f t="shared" si="14"/>
        <v>0.70000000000000007</v>
      </c>
      <c r="AG14" s="41">
        <f t="shared" si="14"/>
        <v>0.70000000000000007</v>
      </c>
      <c r="AH14" s="41">
        <f t="shared" si="14"/>
        <v>0.70000000000000007</v>
      </c>
      <c r="AI14" s="41">
        <f t="shared" si="14"/>
        <v>0.70000000000000007</v>
      </c>
      <c r="AJ14" s="41">
        <f t="shared" si="14"/>
        <v>0.70000000000000007</v>
      </c>
      <c r="AK14" s="41">
        <f t="shared" ref="AK14:BL14" si="15">MIN(fill_start+fill_step*AK9,fill_cap)</f>
        <v>0.70000000000000007</v>
      </c>
      <c r="AL14" s="41">
        <f t="shared" si="15"/>
        <v>0.70000000000000007</v>
      </c>
      <c r="AM14" s="41">
        <f t="shared" si="15"/>
        <v>0.70000000000000007</v>
      </c>
      <c r="AN14" s="41">
        <f t="shared" si="15"/>
        <v>0.70000000000000007</v>
      </c>
      <c r="AO14" s="41">
        <f t="shared" si="15"/>
        <v>0.72500000000000009</v>
      </c>
      <c r="AP14" s="41">
        <f t="shared" si="15"/>
        <v>0.72500000000000009</v>
      </c>
      <c r="AQ14" s="41">
        <f t="shared" si="15"/>
        <v>0.72500000000000009</v>
      </c>
      <c r="AR14" s="41">
        <f t="shared" si="15"/>
        <v>0.72500000000000009</v>
      </c>
      <c r="AS14" s="41">
        <f t="shared" si="15"/>
        <v>0.72500000000000009</v>
      </c>
      <c r="AT14" s="41">
        <f t="shared" si="15"/>
        <v>0.72500000000000009</v>
      </c>
      <c r="AU14" s="41">
        <f t="shared" si="15"/>
        <v>0.72500000000000009</v>
      </c>
      <c r="AV14" s="41">
        <f t="shared" si="15"/>
        <v>0.72500000000000009</v>
      </c>
      <c r="AW14" s="41">
        <f t="shared" si="15"/>
        <v>0.72500000000000009</v>
      </c>
      <c r="AX14" s="41">
        <f t="shared" si="15"/>
        <v>0.72500000000000009</v>
      </c>
      <c r="AY14" s="41">
        <f t="shared" si="15"/>
        <v>0.72500000000000009</v>
      </c>
      <c r="AZ14" s="41">
        <f t="shared" si="15"/>
        <v>0.72500000000000009</v>
      </c>
      <c r="BA14" s="41">
        <f t="shared" si="15"/>
        <v>0.75</v>
      </c>
      <c r="BB14" s="41">
        <f t="shared" si="15"/>
        <v>0.75</v>
      </c>
      <c r="BC14" s="41">
        <f t="shared" si="15"/>
        <v>0.75</v>
      </c>
      <c r="BD14" s="41">
        <f t="shared" si="15"/>
        <v>0.75</v>
      </c>
      <c r="BE14" s="41">
        <f t="shared" si="15"/>
        <v>0.75</v>
      </c>
      <c r="BF14" s="41">
        <f t="shared" si="15"/>
        <v>0.75</v>
      </c>
      <c r="BG14" s="41">
        <f t="shared" si="15"/>
        <v>0.75</v>
      </c>
      <c r="BH14" s="41">
        <f t="shared" si="15"/>
        <v>0.75</v>
      </c>
      <c r="BI14" s="41">
        <f t="shared" si="15"/>
        <v>0.75</v>
      </c>
      <c r="BJ14" s="41">
        <f t="shared" si="15"/>
        <v>0.75</v>
      </c>
      <c r="BK14" s="41">
        <f t="shared" si="15"/>
        <v>0.75</v>
      </c>
      <c r="BL14" s="41">
        <f t="shared" si="15"/>
        <v>0.75</v>
      </c>
    </row>
    <row r="15" spans="1:64" x14ac:dyDescent="0.25">
      <c r="A15" s="8" t="s">
        <v>448</v>
      </c>
      <c r="B15" s="10" t="s">
        <v>449</v>
      </c>
      <c r="E15" s="42">
        <f t="shared" ref="E15:AJ15" si="16">onb_rate0-onb_rate_step*E9</f>
        <v>0.05</v>
      </c>
      <c r="F15" s="42">
        <f t="shared" si="16"/>
        <v>0.05</v>
      </c>
      <c r="G15" s="42">
        <f t="shared" si="16"/>
        <v>0.05</v>
      </c>
      <c r="H15" s="42">
        <f t="shared" si="16"/>
        <v>0.05</v>
      </c>
      <c r="I15" s="42">
        <f t="shared" si="16"/>
        <v>0.05</v>
      </c>
      <c r="J15" s="42">
        <f t="shared" si="16"/>
        <v>0.05</v>
      </c>
      <c r="K15" s="42">
        <f t="shared" si="16"/>
        <v>0.05</v>
      </c>
      <c r="L15" s="42">
        <f t="shared" si="16"/>
        <v>0.05</v>
      </c>
      <c r="M15" s="42">
        <f t="shared" si="16"/>
        <v>0.05</v>
      </c>
      <c r="N15" s="42">
        <f t="shared" si="16"/>
        <v>0.05</v>
      </c>
      <c r="O15" s="42">
        <f t="shared" si="16"/>
        <v>0.05</v>
      </c>
      <c r="P15" s="42">
        <f t="shared" si="16"/>
        <v>0.05</v>
      </c>
      <c r="Q15" s="42">
        <f t="shared" si="16"/>
        <v>4.7500000000000001E-2</v>
      </c>
      <c r="R15" s="42">
        <f t="shared" si="16"/>
        <v>4.7500000000000001E-2</v>
      </c>
      <c r="S15" s="42">
        <f t="shared" si="16"/>
        <v>4.7500000000000001E-2</v>
      </c>
      <c r="T15" s="42">
        <f t="shared" si="16"/>
        <v>4.7500000000000001E-2</v>
      </c>
      <c r="U15" s="42">
        <f t="shared" si="16"/>
        <v>4.7500000000000001E-2</v>
      </c>
      <c r="V15" s="42">
        <f t="shared" si="16"/>
        <v>4.7500000000000001E-2</v>
      </c>
      <c r="W15" s="42">
        <f t="shared" si="16"/>
        <v>4.7500000000000001E-2</v>
      </c>
      <c r="X15" s="42">
        <f t="shared" si="16"/>
        <v>4.7500000000000001E-2</v>
      </c>
      <c r="Y15" s="42">
        <f t="shared" si="16"/>
        <v>4.7500000000000001E-2</v>
      </c>
      <c r="Z15" s="42">
        <f t="shared" si="16"/>
        <v>4.7500000000000001E-2</v>
      </c>
      <c r="AA15" s="42">
        <f t="shared" si="16"/>
        <v>4.7500000000000001E-2</v>
      </c>
      <c r="AB15" s="42">
        <f t="shared" si="16"/>
        <v>4.7500000000000001E-2</v>
      </c>
      <c r="AC15" s="42">
        <f t="shared" si="16"/>
        <v>4.5000000000000005E-2</v>
      </c>
      <c r="AD15" s="42">
        <f t="shared" si="16"/>
        <v>4.5000000000000005E-2</v>
      </c>
      <c r="AE15" s="42">
        <f t="shared" si="16"/>
        <v>4.5000000000000005E-2</v>
      </c>
      <c r="AF15" s="42">
        <f t="shared" si="16"/>
        <v>4.5000000000000005E-2</v>
      </c>
      <c r="AG15" s="42">
        <f t="shared" si="16"/>
        <v>4.5000000000000005E-2</v>
      </c>
      <c r="AH15" s="42">
        <f t="shared" si="16"/>
        <v>4.5000000000000005E-2</v>
      </c>
      <c r="AI15" s="42">
        <f t="shared" si="16"/>
        <v>4.5000000000000005E-2</v>
      </c>
      <c r="AJ15" s="42">
        <f t="shared" si="16"/>
        <v>4.5000000000000005E-2</v>
      </c>
      <c r="AK15" s="42">
        <f t="shared" ref="AK15:BL15" si="17">onb_rate0-onb_rate_step*AK9</f>
        <v>4.5000000000000005E-2</v>
      </c>
      <c r="AL15" s="42">
        <f t="shared" si="17"/>
        <v>4.5000000000000005E-2</v>
      </c>
      <c r="AM15" s="42">
        <f t="shared" si="17"/>
        <v>4.5000000000000005E-2</v>
      </c>
      <c r="AN15" s="42">
        <f t="shared" si="17"/>
        <v>4.5000000000000005E-2</v>
      </c>
      <c r="AO15" s="42">
        <f t="shared" si="17"/>
        <v>4.2500000000000003E-2</v>
      </c>
      <c r="AP15" s="42">
        <f t="shared" si="17"/>
        <v>4.2500000000000003E-2</v>
      </c>
      <c r="AQ15" s="42">
        <f t="shared" si="17"/>
        <v>4.2500000000000003E-2</v>
      </c>
      <c r="AR15" s="42">
        <f t="shared" si="17"/>
        <v>4.2500000000000003E-2</v>
      </c>
      <c r="AS15" s="42">
        <f t="shared" si="17"/>
        <v>4.2500000000000003E-2</v>
      </c>
      <c r="AT15" s="42">
        <f t="shared" si="17"/>
        <v>4.2500000000000003E-2</v>
      </c>
      <c r="AU15" s="42">
        <f t="shared" si="17"/>
        <v>4.2500000000000003E-2</v>
      </c>
      <c r="AV15" s="42">
        <f t="shared" si="17"/>
        <v>4.2500000000000003E-2</v>
      </c>
      <c r="AW15" s="42">
        <f t="shared" si="17"/>
        <v>4.2500000000000003E-2</v>
      </c>
      <c r="AX15" s="42">
        <f t="shared" si="17"/>
        <v>4.2500000000000003E-2</v>
      </c>
      <c r="AY15" s="42">
        <f t="shared" si="17"/>
        <v>4.2500000000000003E-2</v>
      </c>
      <c r="AZ15" s="42">
        <f t="shared" si="17"/>
        <v>4.2500000000000003E-2</v>
      </c>
      <c r="BA15" s="42">
        <f t="shared" si="17"/>
        <v>0.04</v>
      </c>
      <c r="BB15" s="42">
        <f t="shared" si="17"/>
        <v>0.04</v>
      </c>
      <c r="BC15" s="42">
        <f t="shared" si="17"/>
        <v>0.04</v>
      </c>
      <c r="BD15" s="42">
        <f t="shared" si="17"/>
        <v>0.04</v>
      </c>
      <c r="BE15" s="42">
        <f t="shared" si="17"/>
        <v>0.04</v>
      </c>
      <c r="BF15" s="42">
        <f t="shared" si="17"/>
        <v>0.04</v>
      </c>
      <c r="BG15" s="42">
        <f t="shared" si="17"/>
        <v>0.04</v>
      </c>
      <c r="BH15" s="42">
        <f t="shared" si="17"/>
        <v>0.04</v>
      </c>
      <c r="BI15" s="42">
        <f t="shared" si="17"/>
        <v>0.04</v>
      </c>
      <c r="BJ15" s="42">
        <f t="shared" si="17"/>
        <v>0.04</v>
      </c>
      <c r="BK15" s="42">
        <f t="shared" si="17"/>
        <v>0.04</v>
      </c>
      <c r="BL15" s="42">
        <f t="shared" si="17"/>
        <v>0.04</v>
      </c>
    </row>
    <row r="16" spans="1:64" x14ac:dyDescent="0.25">
      <c r="A16" s="8" t="s">
        <v>450</v>
      </c>
      <c r="B16" s="10" t="s">
        <v>444</v>
      </c>
      <c r="C16" s="39" t="s">
        <v>451</v>
      </c>
      <c r="E16" s="40">
        <f t="shared" ref="E16:AJ16" si="18">E12+shifts_per_cg*open_rate*E14*E13+E15*onb_fee</f>
        <v>19.324000000000002</v>
      </c>
      <c r="F16" s="40">
        <f t="shared" si="18"/>
        <v>19.324000000000002</v>
      </c>
      <c r="G16" s="40">
        <f t="shared" si="18"/>
        <v>19.324000000000002</v>
      </c>
      <c r="H16" s="40">
        <f t="shared" si="18"/>
        <v>19.324000000000002</v>
      </c>
      <c r="I16" s="40">
        <f t="shared" si="18"/>
        <v>19.324000000000002</v>
      </c>
      <c r="J16" s="40">
        <f t="shared" si="18"/>
        <v>19.324000000000002</v>
      </c>
      <c r="K16" s="40">
        <f t="shared" si="18"/>
        <v>19.324000000000002</v>
      </c>
      <c r="L16" s="40">
        <f t="shared" si="18"/>
        <v>19.324000000000002</v>
      </c>
      <c r="M16" s="40">
        <f t="shared" si="18"/>
        <v>19.324000000000002</v>
      </c>
      <c r="N16" s="40">
        <f t="shared" si="18"/>
        <v>19.324000000000002</v>
      </c>
      <c r="O16" s="40">
        <f t="shared" si="18"/>
        <v>19.324000000000002</v>
      </c>
      <c r="P16" s="40">
        <f t="shared" si="18"/>
        <v>19.324000000000002</v>
      </c>
      <c r="Q16" s="40">
        <f t="shared" si="18"/>
        <v>20.134440000000001</v>
      </c>
      <c r="R16" s="40">
        <f t="shared" si="18"/>
        <v>20.134440000000001</v>
      </c>
      <c r="S16" s="40">
        <f t="shared" si="18"/>
        <v>20.134440000000001</v>
      </c>
      <c r="T16" s="40">
        <f t="shared" si="18"/>
        <v>20.134440000000001</v>
      </c>
      <c r="U16" s="40">
        <f t="shared" si="18"/>
        <v>20.134440000000001</v>
      </c>
      <c r="V16" s="40">
        <f t="shared" si="18"/>
        <v>20.134440000000001</v>
      </c>
      <c r="W16" s="40">
        <f t="shared" si="18"/>
        <v>20.134440000000001</v>
      </c>
      <c r="X16" s="40">
        <f t="shared" si="18"/>
        <v>20.134440000000001</v>
      </c>
      <c r="Y16" s="40">
        <f t="shared" si="18"/>
        <v>20.134440000000001</v>
      </c>
      <c r="Z16" s="40">
        <f t="shared" si="18"/>
        <v>20.134440000000001</v>
      </c>
      <c r="AA16" s="40">
        <f t="shared" si="18"/>
        <v>20.134440000000001</v>
      </c>
      <c r="AB16" s="40">
        <f t="shared" si="18"/>
        <v>20.134440000000001</v>
      </c>
      <c r="AC16" s="40">
        <f t="shared" si="18"/>
        <v>20.983164800000004</v>
      </c>
      <c r="AD16" s="40">
        <f t="shared" si="18"/>
        <v>20.983164800000004</v>
      </c>
      <c r="AE16" s="40">
        <f t="shared" si="18"/>
        <v>20.983164800000004</v>
      </c>
      <c r="AF16" s="40">
        <f t="shared" si="18"/>
        <v>20.983164800000004</v>
      </c>
      <c r="AG16" s="40">
        <f t="shared" si="18"/>
        <v>20.983164800000004</v>
      </c>
      <c r="AH16" s="40">
        <f t="shared" si="18"/>
        <v>20.983164800000004</v>
      </c>
      <c r="AI16" s="40">
        <f t="shared" si="18"/>
        <v>20.983164800000004</v>
      </c>
      <c r="AJ16" s="40">
        <f t="shared" si="18"/>
        <v>20.983164800000004</v>
      </c>
      <c r="AK16" s="40">
        <f t="shared" ref="AK16:BP16" si="19">AK12+shifts_per_cg*open_rate*AK14*AK13+AK15*onb_fee</f>
        <v>20.983164800000004</v>
      </c>
      <c r="AL16" s="40">
        <f t="shared" si="19"/>
        <v>20.983164800000004</v>
      </c>
      <c r="AM16" s="40">
        <f t="shared" si="19"/>
        <v>20.983164800000004</v>
      </c>
      <c r="AN16" s="40">
        <f t="shared" si="19"/>
        <v>20.983164800000004</v>
      </c>
      <c r="AO16" s="40">
        <f t="shared" si="19"/>
        <v>21.871722592000001</v>
      </c>
      <c r="AP16" s="40">
        <f t="shared" si="19"/>
        <v>21.871722592000001</v>
      </c>
      <c r="AQ16" s="40">
        <f t="shared" si="19"/>
        <v>21.871722592000001</v>
      </c>
      <c r="AR16" s="40">
        <f t="shared" si="19"/>
        <v>21.871722592000001</v>
      </c>
      <c r="AS16" s="40">
        <f t="shared" si="19"/>
        <v>21.871722592000001</v>
      </c>
      <c r="AT16" s="40">
        <f t="shared" si="19"/>
        <v>21.871722592000001</v>
      </c>
      <c r="AU16" s="40">
        <f t="shared" si="19"/>
        <v>21.871722592000001</v>
      </c>
      <c r="AV16" s="40">
        <f t="shared" si="19"/>
        <v>21.871722592000001</v>
      </c>
      <c r="AW16" s="40">
        <f t="shared" si="19"/>
        <v>21.871722592000001</v>
      </c>
      <c r="AX16" s="40">
        <f t="shared" si="19"/>
        <v>21.871722592000001</v>
      </c>
      <c r="AY16" s="40">
        <f t="shared" si="19"/>
        <v>21.871722592000001</v>
      </c>
      <c r="AZ16" s="40">
        <f t="shared" si="19"/>
        <v>21.871722592000001</v>
      </c>
      <c r="BA16" s="40">
        <f t="shared" si="19"/>
        <v>22.801721923200002</v>
      </c>
      <c r="BB16" s="40">
        <f t="shared" si="19"/>
        <v>22.801721923200002</v>
      </c>
      <c r="BC16" s="40">
        <f t="shared" si="19"/>
        <v>22.801721923200002</v>
      </c>
      <c r="BD16" s="40">
        <f t="shared" si="19"/>
        <v>22.801721923200002</v>
      </c>
      <c r="BE16" s="40">
        <f t="shared" si="19"/>
        <v>22.801721923200002</v>
      </c>
      <c r="BF16" s="40">
        <f t="shared" si="19"/>
        <v>22.801721923200002</v>
      </c>
      <c r="BG16" s="40">
        <f t="shared" si="19"/>
        <v>22.801721923200002</v>
      </c>
      <c r="BH16" s="40">
        <f t="shared" si="19"/>
        <v>22.801721923200002</v>
      </c>
      <c r="BI16" s="40">
        <f t="shared" si="19"/>
        <v>22.801721923200002</v>
      </c>
      <c r="BJ16" s="40">
        <f t="shared" si="19"/>
        <v>22.801721923200002</v>
      </c>
      <c r="BK16" s="40">
        <f t="shared" si="19"/>
        <v>22.801721923200002</v>
      </c>
      <c r="BL16" s="40">
        <f t="shared" si="19"/>
        <v>22.801721923200002</v>
      </c>
    </row>
    <row r="17" spans="1:64" x14ac:dyDescent="0.25">
      <c r="A17" s="19" t="s">
        <v>452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</row>
    <row r="18" spans="1:64" x14ac:dyDescent="0.25">
      <c r="A18" s="8" t="s">
        <v>76</v>
      </c>
      <c r="B18" s="10" t="s">
        <v>453</v>
      </c>
      <c r="D18" s="43">
        <f t="shared" ref="D18:AI18" si="20">COUNTIFS(hire_func,"Engineering",hire_start,"&lt;="&amp;D5)</f>
        <v>4</v>
      </c>
      <c r="E18" s="43">
        <f t="shared" si="20"/>
        <v>4</v>
      </c>
      <c r="F18" s="43">
        <f t="shared" si="20"/>
        <v>4</v>
      </c>
      <c r="G18" s="43">
        <f t="shared" si="20"/>
        <v>6</v>
      </c>
      <c r="H18" s="43">
        <f t="shared" si="20"/>
        <v>6</v>
      </c>
      <c r="I18" s="43">
        <f t="shared" si="20"/>
        <v>6</v>
      </c>
      <c r="J18" s="43">
        <f t="shared" si="20"/>
        <v>6</v>
      </c>
      <c r="K18" s="43">
        <f t="shared" si="20"/>
        <v>6</v>
      </c>
      <c r="L18" s="43">
        <f t="shared" si="20"/>
        <v>7</v>
      </c>
      <c r="M18" s="43">
        <f t="shared" si="20"/>
        <v>7</v>
      </c>
      <c r="N18" s="43">
        <f t="shared" si="20"/>
        <v>7</v>
      </c>
      <c r="O18" s="43">
        <f t="shared" si="20"/>
        <v>7</v>
      </c>
      <c r="P18" s="43">
        <f t="shared" si="20"/>
        <v>7</v>
      </c>
      <c r="Q18" s="43">
        <f t="shared" si="20"/>
        <v>8</v>
      </c>
      <c r="R18" s="43">
        <f t="shared" si="20"/>
        <v>8</v>
      </c>
      <c r="S18" s="43">
        <f t="shared" si="20"/>
        <v>8</v>
      </c>
      <c r="T18" s="43">
        <f t="shared" si="20"/>
        <v>8</v>
      </c>
      <c r="U18" s="43">
        <f t="shared" si="20"/>
        <v>8</v>
      </c>
      <c r="V18" s="43">
        <f t="shared" si="20"/>
        <v>9</v>
      </c>
      <c r="W18" s="43">
        <f t="shared" si="20"/>
        <v>9</v>
      </c>
      <c r="X18" s="43">
        <f t="shared" si="20"/>
        <v>9</v>
      </c>
      <c r="Y18" s="43">
        <f t="shared" si="20"/>
        <v>10</v>
      </c>
      <c r="Z18" s="43">
        <f t="shared" si="20"/>
        <v>11</v>
      </c>
      <c r="AA18" s="43">
        <f t="shared" si="20"/>
        <v>11</v>
      </c>
      <c r="AB18" s="43">
        <f t="shared" si="20"/>
        <v>11</v>
      </c>
      <c r="AC18" s="43">
        <f t="shared" si="20"/>
        <v>11</v>
      </c>
      <c r="AD18" s="43">
        <f t="shared" si="20"/>
        <v>12</v>
      </c>
      <c r="AE18" s="43">
        <f t="shared" si="20"/>
        <v>12</v>
      </c>
      <c r="AF18" s="43">
        <f t="shared" si="20"/>
        <v>13</v>
      </c>
      <c r="AG18" s="43">
        <f t="shared" si="20"/>
        <v>13</v>
      </c>
      <c r="AH18" s="43">
        <f t="shared" si="20"/>
        <v>14</v>
      </c>
      <c r="AI18" s="43">
        <f t="shared" si="20"/>
        <v>15</v>
      </c>
      <c r="AJ18" s="43">
        <f t="shared" ref="AJ18:BL18" si="21">COUNTIFS(hire_func,"Engineering",hire_start,"&lt;="&amp;AJ5)</f>
        <v>15</v>
      </c>
      <c r="AK18" s="43">
        <f t="shared" si="21"/>
        <v>16</v>
      </c>
      <c r="AL18" s="43">
        <f t="shared" si="21"/>
        <v>16</v>
      </c>
      <c r="AM18" s="43">
        <f t="shared" si="21"/>
        <v>17</v>
      </c>
      <c r="AN18" s="43">
        <f t="shared" si="21"/>
        <v>18</v>
      </c>
      <c r="AO18" s="43">
        <f t="shared" si="21"/>
        <v>18</v>
      </c>
      <c r="AP18" s="43">
        <f t="shared" si="21"/>
        <v>19</v>
      </c>
      <c r="AQ18" s="43">
        <f t="shared" si="21"/>
        <v>20</v>
      </c>
      <c r="AR18" s="43">
        <f t="shared" si="21"/>
        <v>20</v>
      </c>
      <c r="AS18" s="43">
        <f t="shared" si="21"/>
        <v>21</v>
      </c>
      <c r="AT18" s="43">
        <f t="shared" si="21"/>
        <v>22</v>
      </c>
      <c r="AU18" s="43">
        <f t="shared" si="21"/>
        <v>22</v>
      </c>
      <c r="AV18" s="43">
        <f t="shared" si="21"/>
        <v>23</v>
      </c>
      <c r="AW18" s="43">
        <f t="shared" si="21"/>
        <v>24</v>
      </c>
      <c r="AX18" s="43">
        <f t="shared" si="21"/>
        <v>24</v>
      </c>
      <c r="AY18" s="43">
        <f t="shared" si="21"/>
        <v>25</v>
      </c>
      <c r="AZ18" s="43">
        <f t="shared" si="21"/>
        <v>26</v>
      </c>
      <c r="BA18" s="43">
        <f t="shared" si="21"/>
        <v>26</v>
      </c>
      <c r="BB18" s="43">
        <f t="shared" si="21"/>
        <v>27</v>
      </c>
      <c r="BC18" s="43">
        <f t="shared" si="21"/>
        <v>27</v>
      </c>
      <c r="BD18" s="43">
        <f t="shared" si="21"/>
        <v>28</v>
      </c>
      <c r="BE18" s="43">
        <f t="shared" si="21"/>
        <v>28</v>
      </c>
      <c r="BF18" s="43">
        <f t="shared" si="21"/>
        <v>29</v>
      </c>
      <c r="BG18" s="43">
        <f t="shared" si="21"/>
        <v>30</v>
      </c>
      <c r="BH18" s="43">
        <f t="shared" si="21"/>
        <v>30</v>
      </c>
      <c r="BI18" s="43">
        <f t="shared" si="21"/>
        <v>31</v>
      </c>
      <c r="BJ18" s="43">
        <f t="shared" si="21"/>
        <v>31</v>
      </c>
      <c r="BK18" s="43">
        <f t="shared" si="21"/>
        <v>32</v>
      </c>
      <c r="BL18" s="43">
        <f t="shared" si="21"/>
        <v>33</v>
      </c>
    </row>
    <row r="19" spans="1:64" x14ac:dyDescent="0.25">
      <c r="A19" s="8" t="s">
        <v>109</v>
      </c>
      <c r="B19" s="10" t="s">
        <v>453</v>
      </c>
      <c r="D19" s="43">
        <f t="shared" ref="D19:AI19" si="22">COUNTIFS(hire_func,"Sales",hire_start,"&lt;="&amp;D5)</f>
        <v>0</v>
      </c>
      <c r="E19" s="43">
        <f t="shared" si="22"/>
        <v>0</v>
      </c>
      <c r="F19" s="43">
        <f t="shared" si="22"/>
        <v>0</v>
      </c>
      <c r="G19" s="43">
        <f t="shared" si="22"/>
        <v>0</v>
      </c>
      <c r="H19" s="43">
        <f t="shared" si="22"/>
        <v>1</v>
      </c>
      <c r="I19" s="43">
        <f t="shared" si="22"/>
        <v>1</v>
      </c>
      <c r="J19" s="43">
        <f t="shared" si="22"/>
        <v>2</v>
      </c>
      <c r="K19" s="43">
        <f t="shared" si="22"/>
        <v>2</v>
      </c>
      <c r="L19" s="43">
        <f t="shared" si="22"/>
        <v>2</v>
      </c>
      <c r="M19" s="43">
        <f t="shared" si="22"/>
        <v>3</v>
      </c>
      <c r="N19" s="43">
        <f t="shared" si="22"/>
        <v>3</v>
      </c>
      <c r="O19" s="43">
        <f t="shared" si="22"/>
        <v>3</v>
      </c>
      <c r="P19" s="43">
        <f t="shared" si="22"/>
        <v>3</v>
      </c>
      <c r="Q19" s="43">
        <f t="shared" si="22"/>
        <v>4</v>
      </c>
      <c r="R19" s="43">
        <f t="shared" si="22"/>
        <v>4</v>
      </c>
      <c r="S19" s="43">
        <f t="shared" si="22"/>
        <v>5</v>
      </c>
      <c r="T19" s="43">
        <f t="shared" si="22"/>
        <v>6</v>
      </c>
      <c r="U19" s="43">
        <f t="shared" si="22"/>
        <v>6</v>
      </c>
      <c r="V19" s="43">
        <f t="shared" si="22"/>
        <v>6</v>
      </c>
      <c r="W19" s="43">
        <f t="shared" si="22"/>
        <v>6</v>
      </c>
      <c r="X19" s="43">
        <f t="shared" si="22"/>
        <v>6</v>
      </c>
      <c r="Y19" s="43">
        <f t="shared" si="22"/>
        <v>7</v>
      </c>
      <c r="Z19" s="43">
        <f t="shared" si="22"/>
        <v>8</v>
      </c>
      <c r="AA19" s="43">
        <f t="shared" si="22"/>
        <v>8</v>
      </c>
      <c r="AB19" s="43">
        <f t="shared" si="22"/>
        <v>8</v>
      </c>
      <c r="AC19" s="43">
        <f t="shared" si="22"/>
        <v>8</v>
      </c>
      <c r="AD19" s="43">
        <f t="shared" si="22"/>
        <v>9</v>
      </c>
      <c r="AE19" s="43">
        <f t="shared" si="22"/>
        <v>9</v>
      </c>
      <c r="AF19" s="43">
        <f t="shared" si="22"/>
        <v>10</v>
      </c>
      <c r="AG19" s="43">
        <f t="shared" si="22"/>
        <v>10</v>
      </c>
      <c r="AH19" s="43">
        <f t="shared" si="22"/>
        <v>11</v>
      </c>
      <c r="AI19" s="43">
        <f t="shared" si="22"/>
        <v>11</v>
      </c>
      <c r="AJ19" s="43">
        <f t="shared" ref="AJ19:BL19" si="23">COUNTIFS(hire_func,"Sales",hire_start,"&lt;="&amp;AJ5)</f>
        <v>12</v>
      </c>
      <c r="AK19" s="43">
        <f t="shared" si="23"/>
        <v>12</v>
      </c>
      <c r="AL19" s="43">
        <f t="shared" si="23"/>
        <v>13</v>
      </c>
      <c r="AM19" s="43">
        <f t="shared" si="23"/>
        <v>13</v>
      </c>
      <c r="AN19" s="43">
        <f t="shared" si="23"/>
        <v>14</v>
      </c>
      <c r="AO19" s="43">
        <f t="shared" si="23"/>
        <v>14</v>
      </c>
      <c r="AP19" s="43">
        <f t="shared" si="23"/>
        <v>15</v>
      </c>
      <c r="AQ19" s="43">
        <f t="shared" si="23"/>
        <v>16</v>
      </c>
      <c r="AR19" s="43">
        <f t="shared" si="23"/>
        <v>16</v>
      </c>
      <c r="AS19" s="43">
        <f t="shared" si="23"/>
        <v>17</v>
      </c>
      <c r="AT19" s="43">
        <f t="shared" si="23"/>
        <v>18</v>
      </c>
      <c r="AU19" s="43">
        <f t="shared" si="23"/>
        <v>18</v>
      </c>
      <c r="AV19" s="43">
        <f t="shared" si="23"/>
        <v>19</v>
      </c>
      <c r="AW19" s="43">
        <f t="shared" si="23"/>
        <v>20</v>
      </c>
      <c r="AX19" s="43">
        <f t="shared" si="23"/>
        <v>20</v>
      </c>
      <c r="AY19" s="43">
        <f t="shared" si="23"/>
        <v>21</v>
      </c>
      <c r="AZ19" s="43">
        <f t="shared" si="23"/>
        <v>22</v>
      </c>
      <c r="BA19" s="43">
        <f t="shared" si="23"/>
        <v>22</v>
      </c>
      <c r="BB19" s="43">
        <f t="shared" si="23"/>
        <v>23</v>
      </c>
      <c r="BC19" s="43">
        <f t="shared" si="23"/>
        <v>23</v>
      </c>
      <c r="BD19" s="43">
        <f t="shared" si="23"/>
        <v>24</v>
      </c>
      <c r="BE19" s="43">
        <f t="shared" si="23"/>
        <v>24</v>
      </c>
      <c r="BF19" s="43">
        <f t="shared" si="23"/>
        <v>25</v>
      </c>
      <c r="BG19" s="43">
        <f t="shared" si="23"/>
        <v>25</v>
      </c>
      <c r="BH19" s="43">
        <f t="shared" si="23"/>
        <v>26</v>
      </c>
      <c r="BI19" s="43">
        <f t="shared" si="23"/>
        <v>26</v>
      </c>
      <c r="BJ19" s="43">
        <f t="shared" si="23"/>
        <v>27</v>
      </c>
      <c r="BK19" s="43">
        <f t="shared" si="23"/>
        <v>27</v>
      </c>
      <c r="BL19" s="43">
        <f t="shared" si="23"/>
        <v>28</v>
      </c>
    </row>
    <row r="20" spans="1:64" x14ac:dyDescent="0.25">
      <c r="A20" s="8" t="s">
        <v>145</v>
      </c>
      <c r="B20" s="10" t="s">
        <v>453</v>
      </c>
      <c r="D20" s="43">
        <f t="shared" ref="D20:AI20" si="24">COUNTIFS(hire_func,"Marketing",hire_start,"&lt;="&amp;D5)</f>
        <v>0</v>
      </c>
      <c r="E20" s="43">
        <f t="shared" si="24"/>
        <v>0</v>
      </c>
      <c r="F20" s="43">
        <f t="shared" si="24"/>
        <v>0</v>
      </c>
      <c r="G20" s="43">
        <f t="shared" si="24"/>
        <v>0</v>
      </c>
      <c r="H20" s="43">
        <f t="shared" si="24"/>
        <v>0</v>
      </c>
      <c r="I20" s="43">
        <f t="shared" si="24"/>
        <v>0</v>
      </c>
      <c r="J20" s="43">
        <f t="shared" si="24"/>
        <v>0</v>
      </c>
      <c r="K20" s="43">
        <f t="shared" si="24"/>
        <v>0</v>
      </c>
      <c r="L20" s="43">
        <f t="shared" si="24"/>
        <v>0</v>
      </c>
      <c r="M20" s="43">
        <f t="shared" si="24"/>
        <v>0</v>
      </c>
      <c r="N20" s="43">
        <f t="shared" si="24"/>
        <v>0</v>
      </c>
      <c r="O20" s="43">
        <f t="shared" si="24"/>
        <v>0</v>
      </c>
      <c r="P20" s="43">
        <f t="shared" si="24"/>
        <v>0</v>
      </c>
      <c r="Q20" s="43">
        <f t="shared" si="24"/>
        <v>0</v>
      </c>
      <c r="R20" s="43">
        <f t="shared" si="24"/>
        <v>1</v>
      </c>
      <c r="S20" s="43">
        <f t="shared" si="24"/>
        <v>1</v>
      </c>
      <c r="T20" s="43">
        <f t="shared" si="24"/>
        <v>1</v>
      </c>
      <c r="U20" s="43">
        <f t="shared" si="24"/>
        <v>1</v>
      </c>
      <c r="V20" s="43">
        <f t="shared" si="24"/>
        <v>1</v>
      </c>
      <c r="W20" s="43">
        <f t="shared" si="24"/>
        <v>1</v>
      </c>
      <c r="X20" s="43">
        <f t="shared" si="24"/>
        <v>1</v>
      </c>
      <c r="Y20" s="43">
        <f t="shared" si="24"/>
        <v>2</v>
      </c>
      <c r="Z20" s="43">
        <f t="shared" si="24"/>
        <v>2</v>
      </c>
      <c r="AA20" s="43">
        <f t="shared" si="24"/>
        <v>2</v>
      </c>
      <c r="AB20" s="43">
        <f t="shared" si="24"/>
        <v>2</v>
      </c>
      <c r="AC20" s="43">
        <f t="shared" si="24"/>
        <v>2</v>
      </c>
      <c r="AD20" s="43">
        <f t="shared" si="24"/>
        <v>2</v>
      </c>
      <c r="AE20" s="43">
        <f t="shared" si="24"/>
        <v>2</v>
      </c>
      <c r="AF20" s="43">
        <f t="shared" si="24"/>
        <v>2</v>
      </c>
      <c r="AG20" s="43">
        <f t="shared" si="24"/>
        <v>2</v>
      </c>
      <c r="AH20" s="43">
        <f t="shared" si="24"/>
        <v>3</v>
      </c>
      <c r="AI20" s="43">
        <f t="shared" si="24"/>
        <v>3</v>
      </c>
      <c r="AJ20" s="43">
        <f t="shared" ref="AJ20:BL20" si="25">COUNTIFS(hire_func,"Marketing",hire_start,"&lt;="&amp;AJ5)</f>
        <v>3</v>
      </c>
      <c r="AK20" s="43">
        <f t="shared" si="25"/>
        <v>3</v>
      </c>
      <c r="AL20" s="43">
        <f t="shared" si="25"/>
        <v>3</v>
      </c>
      <c r="AM20" s="43">
        <f t="shared" si="25"/>
        <v>3</v>
      </c>
      <c r="AN20" s="43">
        <f t="shared" si="25"/>
        <v>4</v>
      </c>
      <c r="AO20" s="43">
        <f t="shared" si="25"/>
        <v>4</v>
      </c>
      <c r="AP20" s="43">
        <f t="shared" si="25"/>
        <v>4</v>
      </c>
      <c r="AQ20" s="43">
        <f t="shared" si="25"/>
        <v>4</v>
      </c>
      <c r="AR20" s="43">
        <f t="shared" si="25"/>
        <v>4</v>
      </c>
      <c r="AS20" s="43">
        <f t="shared" si="25"/>
        <v>4</v>
      </c>
      <c r="AT20" s="43">
        <f t="shared" si="25"/>
        <v>5</v>
      </c>
      <c r="AU20" s="43">
        <f t="shared" si="25"/>
        <v>5</v>
      </c>
      <c r="AV20" s="43">
        <f t="shared" si="25"/>
        <v>5</v>
      </c>
      <c r="AW20" s="43">
        <f t="shared" si="25"/>
        <v>5</v>
      </c>
      <c r="AX20" s="43">
        <f t="shared" si="25"/>
        <v>5</v>
      </c>
      <c r="AY20" s="43">
        <f t="shared" si="25"/>
        <v>5</v>
      </c>
      <c r="AZ20" s="43">
        <f t="shared" si="25"/>
        <v>6</v>
      </c>
      <c r="BA20" s="43">
        <f t="shared" si="25"/>
        <v>6</v>
      </c>
      <c r="BB20" s="43">
        <f t="shared" si="25"/>
        <v>6</v>
      </c>
      <c r="BC20" s="43">
        <f t="shared" si="25"/>
        <v>6</v>
      </c>
      <c r="BD20" s="43">
        <f t="shared" si="25"/>
        <v>6</v>
      </c>
      <c r="BE20" s="43">
        <f t="shared" si="25"/>
        <v>6</v>
      </c>
      <c r="BF20" s="43">
        <f t="shared" si="25"/>
        <v>7</v>
      </c>
      <c r="BG20" s="43">
        <f t="shared" si="25"/>
        <v>7</v>
      </c>
      <c r="BH20" s="43">
        <f t="shared" si="25"/>
        <v>7</v>
      </c>
      <c r="BI20" s="43">
        <f t="shared" si="25"/>
        <v>7</v>
      </c>
      <c r="BJ20" s="43">
        <f t="shared" si="25"/>
        <v>7</v>
      </c>
      <c r="BK20" s="43">
        <f t="shared" si="25"/>
        <v>7</v>
      </c>
      <c r="BL20" s="43">
        <f t="shared" si="25"/>
        <v>8</v>
      </c>
    </row>
    <row r="21" spans="1:64" x14ac:dyDescent="0.25">
      <c r="A21" s="8" t="s">
        <v>92</v>
      </c>
      <c r="B21" s="10" t="s">
        <v>453</v>
      </c>
      <c r="D21" s="43">
        <f t="shared" ref="D21:AI21" si="26">COUNTIFS(hire_func,"Implementation and CS",hire_start,"&lt;="&amp;D5)</f>
        <v>1</v>
      </c>
      <c r="E21" s="43">
        <f t="shared" si="26"/>
        <v>1</v>
      </c>
      <c r="F21" s="43">
        <f t="shared" si="26"/>
        <v>1</v>
      </c>
      <c r="G21" s="43">
        <f t="shared" si="26"/>
        <v>1</v>
      </c>
      <c r="H21" s="43">
        <f t="shared" si="26"/>
        <v>1</v>
      </c>
      <c r="I21" s="43">
        <f t="shared" si="26"/>
        <v>1</v>
      </c>
      <c r="J21" s="43">
        <f t="shared" si="26"/>
        <v>2</v>
      </c>
      <c r="K21" s="43">
        <f t="shared" si="26"/>
        <v>2</v>
      </c>
      <c r="L21" s="43">
        <f t="shared" si="26"/>
        <v>2</v>
      </c>
      <c r="M21" s="43">
        <f t="shared" si="26"/>
        <v>2</v>
      </c>
      <c r="N21" s="43">
        <f t="shared" si="26"/>
        <v>2</v>
      </c>
      <c r="O21" s="43">
        <f t="shared" si="26"/>
        <v>3</v>
      </c>
      <c r="P21" s="43">
        <f t="shared" si="26"/>
        <v>3</v>
      </c>
      <c r="Q21" s="43">
        <f t="shared" si="26"/>
        <v>3</v>
      </c>
      <c r="R21" s="43">
        <f t="shared" si="26"/>
        <v>3</v>
      </c>
      <c r="S21" s="43">
        <f t="shared" si="26"/>
        <v>3</v>
      </c>
      <c r="T21" s="43">
        <f t="shared" si="26"/>
        <v>3</v>
      </c>
      <c r="U21" s="43">
        <f t="shared" si="26"/>
        <v>4</v>
      </c>
      <c r="V21" s="43">
        <f t="shared" si="26"/>
        <v>4</v>
      </c>
      <c r="W21" s="43">
        <f t="shared" si="26"/>
        <v>4</v>
      </c>
      <c r="X21" s="43">
        <f t="shared" si="26"/>
        <v>4</v>
      </c>
      <c r="Y21" s="43">
        <f t="shared" si="26"/>
        <v>4</v>
      </c>
      <c r="Z21" s="43">
        <f t="shared" si="26"/>
        <v>5</v>
      </c>
      <c r="AA21" s="43">
        <f t="shared" si="26"/>
        <v>5</v>
      </c>
      <c r="AB21" s="43">
        <f t="shared" si="26"/>
        <v>5</v>
      </c>
      <c r="AC21" s="43">
        <f t="shared" si="26"/>
        <v>5</v>
      </c>
      <c r="AD21" s="43">
        <f t="shared" si="26"/>
        <v>5</v>
      </c>
      <c r="AE21" s="43">
        <f t="shared" si="26"/>
        <v>6</v>
      </c>
      <c r="AF21" s="43">
        <f t="shared" si="26"/>
        <v>6</v>
      </c>
      <c r="AG21" s="43">
        <f t="shared" si="26"/>
        <v>6</v>
      </c>
      <c r="AH21" s="43">
        <f t="shared" si="26"/>
        <v>7</v>
      </c>
      <c r="AI21" s="43">
        <f t="shared" si="26"/>
        <v>7</v>
      </c>
      <c r="AJ21" s="43">
        <f t="shared" ref="AJ21:BL21" si="27">COUNTIFS(hire_func,"Implementation and CS",hire_start,"&lt;="&amp;AJ5)</f>
        <v>7</v>
      </c>
      <c r="AK21" s="43">
        <f t="shared" si="27"/>
        <v>8</v>
      </c>
      <c r="AL21" s="43">
        <f t="shared" si="27"/>
        <v>8</v>
      </c>
      <c r="AM21" s="43">
        <f t="shared" si="27"/>
        <v>8</v>
      </c>
      <c r="AN21" s="43">
        <f t="shared" si="27"/>
        <v>9</v>
      </c>
      <c r="AO21" s="43">
        <f t="shared" si="27"/>
        <v>9</v>
      </c>
      <c r="AP21" s="43">
        <f t="shared" si="27"/>
        <v>10</v>
      </c>
      <c r="AQ21" s="43">
        <f t="shared" si="27"/>
        <v>10</v>
      </c>
      <c r="AR21" s="43">
        <f t="shared" si="27"/>
        <v>11</v>
      </c>
      <c r="AS21" s="43">
        <f t="shared" si="27"/>
        <v>11</v>
      </c>
      <c r="AT21" s="43">
        <f t="shared" si="27"/>
        <v>12</v>
      </c>
      <c r="AU21" s="43">
        <f t="shared" si="27"/>
        <v>12</v>
      </c>
      <c r="AV21" s="43">
        <f t="shared" si="27"/>
        <v>13</v>
      </c>
      <c r="AW21" s="43">
        <f t="shared" si="27"/>
        <v>13</v>
      </c>
      <c r="AX21" s="43">
        <f t="shared" si="27"/>
        <v>14</v>
      </c>
      <c r="AY21" s="43">
        <f t="shared" si="27"/>
        <v>14</v>
      </c>
      <c r="AZ21" s="43">
        <f t="shared" si="27"/>
        <v>15</v>
      </c>
      <c r="BA21" s="43">
        <f t="shared" si="27"/>
        <v>15</v>
      </c>
      <c r="BB21" s="43">
        <f t="shared" si="27"/>
        <v>16</v>
      </c>
      <c r="BC21" s="43">
        <f t="shared" si="27"/>
        <v>16</v>
      </c>
      <c r="BD21" s="43">
        <f t="shared" si="27"/>
        <v>17</v>
      </c>
      <c r="BE21" s="43">
        <f t="shared" si="27"/>
        <v>17</v>
      </c>
      <c r="BF21" s="43">
        <f t="shared" si="27"/>
        <v>18</v>
      </c>
      <c r="BG21" s="43">
        <f t="shared" si="27"/>
        <v>19</v>
      </c>
      <c r="BH21" s="43">
        <f t="shared" si="27"/>
        <v>19</v>
      </c>
      <c r="BI21" s="43">
        <f t="shared" si="27"/>
        <v>20</v>
      </c>
      <c r="BJ21" s="43">
        <f t="shared" si="27"/>
        <v>20</v>
      </c>
      <c r="BK21" s="43">
        <f t="shared" si="27"/>
        <v>21</v>
      </c>
      <c r="BL21" s="43">
        <f t="shared" si="27"/>
        <v>22</v>
      </c>
    </row>
    <row r="22" spans="1:64" x14ac:dyDescent="0.25">
      <c r="A22" s="8" t="s">
        <v>97</v>
      </c>
      <c r="B22" s="10" t="s">
        <v>453</v>
      </c>
      <c r="D22" s="43">
        <f t="shared" ref="D22:AI22" si="28">COUNTIFS(hire_func,"G&amp;A",hire_start,"&lt;="&amp;D5)</f>
        <v>1</v>
      </c>
      <c r="E22" s="43">
        <f t="shared" si="28"/>
        <v>1</v>
      </c>
      <c r="F22" s="43">
        <f t="shared" si="28"/>
        <v>1</v>
      </c>
      <c r="G22" s="43">
        <f t="shared" si="28"/>
        <v>1</v>
      </c>
      <c r="H22" s="43">
        <f t="shared" si="28"/>
        <v>1</v>
      </c>
      <c r="I22" s="43">
        <f t="shared" si="28"/>
        <v>1</v>
      </c>
      <c r="J22" s="43">
        <f t="shared" si="28"/>
        <v>1</v>
      </c>
      <c r="K22" s="43">
        <f t="shared" si="28"/>
        <v>1</v>
      </c>
      <c r="L22" s="43">
        <f t="shared" si="28"/>
        <v>1</v>
      </c>
      <c r="M22" s="43">
        <f t="shared" si="28"/>
        <v>2</v>
      </c>
      <c r="N22" s="43">
        <f t="shared" si="28"/>
        <v>2</v>
      </c>
      <c r="O22" s="43">
        <f t="shared" si="28"/>
        <v>2</v>
      </c>
      <c r="P22" s="43">
        <f t="shared" si="28"/>
        <v>2</v>
      </c>
      <c r="Q22" s="43">
        <f t="shared" si="28"/>
        <v>2</v>
      </c>
      <c r="R22" s="43">
        <f t="shared" si="28"/>
        <v>2</v>
      </c>
      <c r="S22" s="43">
        <f t="shared" si="28"/>
        <v>2</v>
      </c>
      <c r="T22" s="43">
        <f t="shared" si="28"/>
        <v>2</v>
      </c>
      <c r="U22" s="43">
        <f t="shared" si="28"/>
        <v>2</v>
      </c>
      <c r="V22" s="43">
        <f t="shared" si="28"/>
        <v>2</v>
      </c>
      <c r="W22" s="43">
        <f t="shared" si="28"/>
        <v>2</v>
      </c>
      <c r="X22" s="43">
        <f t="shared" si="28"/>
        <v>2</v>
      </c>
      <c r="Y22" s="43">
        <f t="shared" si="28"/>
        <v>3</v>
      </c>
      <c r="Z22" s="43">
        <f t="shared" si="28"/>
        <v>3</v>
      </c>
      <c r="AA22" s="43">
        <f t="shared" si="28"/>
        <v>3</v>
      </c>
      <c r="AB22" s="43">
        <f t="shared" si="28"/>
        <v>3</v>
      </c>
      <c r="AC22" s="43">
        <f t="shared" si="28"/>
        <v>3</v>
      </c>
      <c r="AD22" s="43">
        <f t="shared" si="28"/>
        <v>3</v>
      </c>
      <c r="AE22" s="43">
        <f t="shared" si="28"/>
        <v>3</v>
      </c>
      <c r="AF22" s="43">
        <f t="shared" si="28"/>
        <v>4</v>
      </c>
      <c r="AG22" s="43">
        <f t="shared" si="28"/>
        <v>4</v>
      </c>
      <c r="AH22" s="43">
        <f t="shared" si="28"/>
        <v>4</v>
      </c>
      <c r="AI22" s="43">
        <f t="shared" si="28"/>
        <v>4</v>
      </c>
      <c r="AJ22" s="43">
        <f t="shared" ref="AJ22:BL22" si="29">COUNTIFS(hire_func,"G&amp;A",hire_start,"&lt;="&amp;AJ5)</f>
        <v>5</v>
      </c>
      <c r="AK22" s="43">
        <f t="shared" si="29"/>
        <v>5</v>
      </c>
      <c r="AL22" s="43">
        <f t="shared" si="29"/>
        <v>5</v>
      </c>
      <c r="AM22" s="43">
        <f t="shared" si="29"/>
        <v>5</v>
      </c>
      <c r="AN22" s="43">
        <f t="shared" si="29"/>
        <v>6</v>
      </c>
      <c r="AO22" s="43">
        <f t="shared" si="29"/>
        <v>6</v>
      </c>
      <c r="AP22" s="43">
        <f t="shared" si="29"/>
        <v>6</v>
      </c>
      <c r="AQ22" s="43">
        <f t="shared" si="29"/>
        <v>7</v>
      </c>
      <c r="AR22" s="43">
        <f t="shared" si="29"/>
        <v>7</v>
      </c>
      <c r="AS22" s="43">
        <f t="shared" si="29"/>
        <v>7</v>
      </c>
      <c r="AT22" s="43">
        <f t="shared" si="29"/>
        <v>8</v>
      </c>
      <c r="AU22" s="43">
        <f t="shared" si="29"/>
        <v>8</v>
      </c>
      <c r="AV22" s="43">
        <f t="shared" si="29"/>
        <v>8</v>
      </c>
      <c r="AW22" s="43">
        <f t="shared" si="29"/>
        <v>9</v>
      </c>
      <c r="AX22" s="43">
        <f t="shared" si="29"/>
        <v>9</v>
      </c>
      <c r="AY22" s="43">
        <f t="shared" si="29"/>
        <v>9</v>
      </c>
      <c r="AZ22" s="43">
        <f t="shared" si="29"/>
        <v>10</v>
      </c>
      <c r="BA22" s="43">
        <f t="shared" si="29"/>
        <v>10</v>
      </c>
      <c r="BB22" s="43">
        <f t="shared" si="29"/>
        <v>10</v>
      </c>
      <c r="BC22" s="43">
        <f t="shared" si="29"/>
        <v>11</v>
      </c>
      <c r="BD22" s="43">
        <f t="shared" si="29"/>
        <v>11</v>
      </c>
      <c r="BE22" s="43">
        <f t="shared" si="29"/>
        <v>11</v>
      </c>
      <c r="BF22" s="43">
        <f t="shared" si="29"/>
        <v>12</v>
      </c>
      <c r="BG22" s="43">
        <f t="shared" si="29"/>
        <v>12</v>
      </c>
      <c r="BH22" s="43">
        <f t="shared" si="29"/>
        <v>12</v>
      </c>
      <c r="BI22" s="43">
        <f t="shared" si="29"/>
        <v>13</v>
      </c>
      <c r="BJ22" s="43">
        <f t="shared" si="29"/>
        <v>13</v>
      </c>
      <c r="BK22" s="43">
        <f t="shared" si="29"/>
        <v>13</v>
      </c>
      <c r="BL22" s="43">
        <f t="shared" si="29"/>
        <v>14</v>
      </c>
    </row>
    <row r="23" spans="1:64" x14ac:dyDescent="0.25">
      <c r="A23" s="44" t="s">
        <v>454</v>
      </c>
      <c r="B23" s="10" t="s">
        <v>453</v>
      </c>
      <c r="D23" s="45">
        <f t="shared" ref="D23:AI23" si="30">SUM(D18:D22)</f>
        <v>6</v>
      </c>
      <c r="E23" s="46">
        <f t="shared" si="30"/>
        <v>6</v>
      </c>
      <c r="F23" s="46">
        <f t="shared" si="30"/>
        <v>6</v>
      </c>
      <c r="G23" s="46">
        <f t="shared" si="30"/>
        <v>8</v>
      </c>
      <c r="H23" s="46">
        <f t="shared" si="30"/>
        <v>9</v>
      </c>
      <c r="I23" s="46">
        <f t="shared" si="30"/>
        <v>9</v>
      </c>
      <c r="J23" s="46">
        <f t="shared" si="30"/>
        <v>11</v>
      </c>
      <c r="K23" s="46">
        <f t="shared" si="30"/>
        <v>11</v>
      </c>
      <c r="L23" s="46">
        <f t="shared" si="30"/>
        <v>12</v>
      </c>
      <c r="M23" s="46">
        <f t="shared" si="30"/>
        <v>14</v>
      </c>
      <c r="N23" s="46">
        <f t="shared" si="30"/>
        <v>14</v>
      </c>
      <c r="O23" s="46">
        <f t="shared" si="30"/>
        <v>15</v>
      </c>
      <c r="P23" s="46">
        <f t="shared" si="30"/>
        <v>15</v>
      </c>
      <c r="Q23" s="46">
        <f t="shared" si="30"/>
        <v>17</v>
      </c>
      <c r="R23" s="46">
        <f t="shared" si="30"/>
        <v>18</v>
      </c>
      <c r="S23" s="46">
        <f t="shared" si="30"/>
        <v>19</v>
      </c>
      <c r="T23" s="46">
        <f t="shared" si="30"/>
        <v>20</v>
      </c>
      <c r="U23" s="46">
        <f t="shared" si="30"/>
        <v>21</v>
      </c>
      <c r="V23" s="46">
        <f t="shared" si="30"/>
        <v>22</v>
      </c>
      <c r="W23" s="46">
        <f t="shared" si="30"/>
        <v>22</v>
      </c>
      <c r="X23" s="46">
        <f t="shared" si="30"/>
        <v>22</v>
      </c>
      <c r="Y23" s="46">
        <f t="shared" si="30"/>
        <v>26</v>
      </c>
      <c r="Z23" s="46">
        <f t="shared" si="30"/>
        <v>29</v>
      </c>
      <c r="AA23" s="46">
        <f t="shared" si="30"/>
        <v>29</v>
      </c>
      <c r="AB23" s="46">
        <f t="shared" si="30"/>
        <v>29</v>
      </c>
      <c r="AC23" s="46">
        <f t="shared" si="30"/>
        <v>29</v>
      </c>
      <c r="AD23" s="46">
        <f t="shared" si="30"/>
        <v>31</v>
      </c>
      <c r="AE23" s="46">
        <f t="shared" si="30"/>
        <v>32</v>
      </c>
      <c r="AF23" s="46">
        <f t="shared" si="30"/>
        <v>35</v>
      </c>
      <c r="AG23" s="46">
        <f t="shared" si="30"/>
        <v>35</v>
      </c>
      <c r="AH23" s="46">
        <f t="shared" si="30"/>
        <v>39</v>
      </c>
      <c r="AI23" s="46">
        <f t="shared" si="30"/>
        <v>40</v>
      </c>
      <c r="AJ23" s="46">
        <f t="shared" ref="AJ23:BO23" si="31">SUM(AJ18:AJ22)</f>
        <v>42</v>
      </c>
      <c r="AK23" s="46">
        <f t="shared" si="31"/>
        <v>44</v>
      </c>
      <c r="AL23" s="46">
        <f t="shared" si="31"/>
        <v>45</v>
      </c>
      <c r="AM23" s="46">
        <f t="shared" si="31"/>
        <v>46</v>
      </c>
      <c r="AN23" s="46">
        <f t="shared" si="31"/>
        <v>51</v>
      </c>
      <c r="AO23" s="46">
        <f t="shared" si="31"/>
        <v>51</v>
      </c>
      <c r="AP23" s="46">
        <f t="shared" si="31"/>
        <v>54</v>
      </c>
      <c r="AQ23" s="46">
        <f t="shared" si="31"/>
        <v>57</v>
      </c>
      <c r="AR23" s="46">
        <f t="shared" si="31"/>
        <v>58</v>
      </c>
      <c r="AS23" s="46">
        <f t="shared" si="31"/>
        <v>60</v>
      </c>
      <c r="AT23" s="46">
        <f t="shared" si="31"/>
        <v>65</v>
      </c>
      <c r="AU23" s="46">
        <f t="shared" si="31"/>
        <v>65</v>
      </c>
      <c r="AV23" s="46">
        <f t="shared" si="31"/>
        <v>68</v>
      </c>
      <c r="AW23" s="46">
        <f t="shared" si="31"/>
        <v>71</v>
      </c>
      <c r="AX23" s="46">
        <f t="shared" si="31"/>
        <v>72</v>
      </c>
      <c r="AY23" s="46">
        <f t="shared" si="31"/>
        <v>74</v>
      </c>
      <c r="AZ23" s="46">
        <f t="shared" si="31"/>
        <v>79</v>
      </c>
      <c r="BA23" s="46">
        <f t="shared" si="31"/>
        <v>79</v>
      </c>
      <c r="BB23" s="46">
        <f t="shared" si="31"/>
        <v>82</v>
      </c>
      <c r="BC23" s="46">
        <f t="shared" si="31"/>
        <v>83</v>
      </c>
      <c r="BD23" s="46">
        <f t="shared" si="31"/>
        <v>86</v>
      </c>
      <c r="BE23" s="46">
        <f t="shared" si="31"/>
        <v>86</v>
      </c>
      <c r="BF23" s="46">
        <f t="shared" si="31"/>
        <v>91</v>
      </c>
      <c r="BG23" s="46">
        <f t="shared" si="31"/>
        <v>93</v>
      </c>
      <c r="BH23" s="46">
        <f t="shared" si="31"/>
        <v>94</v>
      </c>
      <c r="BI23" s="46">
        <f t="shared" si="31"/>
        <v>97</v>
      </c>
      <c r="BJ23" s="46">
        <f t="shared" si="31"/>
        <v>98</v>
      </c>
      <c r="BK23" s="46">
        <f t="shared" si="31"/>
        <v>100</v>
      </c>
      <c r="BL23" s="46">
        <f t="shared" si="31"/>
        <v>105</v>
      </c>
    </row>
    <row r="24" spans="1:64" x14ac:dyDescent="0.25">
      <c r="A24" s="8" t="s">
        <v>455</v>
      </c>
      <c r="B24" s="10" t="s">
        <v>453</v>
      </c>
      <c r="E24" s="43">
        <f t="shared" ref="E24:AJ24" si="32">COUNTIF(hire_start,E5)</f>
        <v>0</v>
      </c>
      <c r="F24" s="43">
        <f t="shared" si="32"/>
        <v>0</v>
      </c>
      <c r="G24" s="43">
        <f t="shared" si="32"/>
        <v>2</v>
      </c>
      <c r="H24" s="43">
        <f t="shared" si="32"/>
        <v>1</v>
      </c>
      <c r="I24" s="43">
        <f t="shared" si="32"/>
        <v>0</v>
      </c>
      <c r="J24" s="43">
        <f t="shared" si="32"/>
        <v>2</v>
      </c>
      <c r="K24" s="43">
        <f t="shared" si="32"/>
        <v>0</v>
      </c>
      <c r="L24" s="43">
        <f t="shared" si="32"/>
        <v>1</v>
      </c>
      <c r="M24" s="43">
        <f t="shared" si="32"/>
        <v>2</v>
      </c>
      <c r="N24" s="43">
        <f t="shared" si="32"/>
        <v>0</v>
      </c>
      <c r="O24" s="43">
        <f t="shared" si="32"/>
        <v>1</v>
      </c>
      <c r="P24" s="43">
        <f t="shared" si="32"/>
        <v>0</v>
      </c>
      <c r="Q24" s="43">
        <f t="shared" si="32"/>
        <v>2</v>
      </c>
      <c r="R24" s="43">
        <f t="shared" si="32"/>
        <v>1</v>
      </c>
      <c r="S24" s="43">
        <f t="shared" si="32"/>
        <v>1</v>
      </c>
      <c r="T24" s="43">
        <f t="shared" si="32"/>
        <v>1</v>
      </c>
      <c r="U24" s="43">
        <f t="shared" si="32"/>
        <v>1</v>
      </c>
      <c r="V24" s="43">
        <f t="shared" si="32"/>
        <v>1</v>
      </c>
      <c r="W24" s="43">
        <f t="shared" si="32"/>
        <v>0</v>
      </c>
      <c r="X24" s="43">
        <f t="shared" si="32"/>
        <v>0</v>
      </c>
      <c r="Y24" s="43">
        <f t="shared" si="32"/>
        <v>4</v>
      </c>
      <c r="Z24" s="43">
        <f t="shared" si="32"/>
        <v>3</v>
      </c>
      <c r="AA24" s="43">
        <f t="shared" si="32"/>
        <v>0</v>
      </c>
      <c r="AB24" s="43">
        <f t="shared" si="32"/>
        <v>0</v>
      </c>
      <c r="AC24" s="43">
        <f t="shared" si="32"/>
        <v>0</v>
      </c>
      <c r="AD24" s="43">
        <f t="shared" si="32"/>
        <v>2</v>
      </c>
      <c r="AE24" s="43">
        <f t="shared" si="32"/>
        <v>1</v>
      </c>
      <c r="AF24" s="43">
        <f t="shared" si="32"/>
        <v>3</v>
      </c>
      <c r="AG24" s="43">
        <f t="shared" si="32"/>
        <v>0</v>
      </c>
      <c r="AH24" s="43">
        <f t="shared" si="32"/>
        <v>4</v>
      </c>
      <c r="AI24" s="43">
        <f t="shared" si="32"/>
        <v>1</v>
      </c>
      <c r="AJ24" s="43">
        <f t="shared" si="32"/>
        <v>2</v>
      </c>
      <c r="AK24" s="43">
        <f t="shared" ref="AK24:BL24" si="33">COUNTIF(hire_start,AK5)</f>
        <v>2</v>
      </c>
      <c r="AL24" s="43">
        <f t="shared" si="33"/>
        <v>1</v>
      </c>
      <c r="AM24" s="43">
        <f t="shared" si="33"/>
        <v>1</v>
      </c>
      <c r="AN24" s="43">
        <f t="shared" si="33"/>
        <v>5</v>
      </c>
      <c r="AO24" s="43">
        <f t="shared" si="33"/>
        <v>0</v>
      </c>
      <c r="AP24" s="43">
        <f t="shared" si="33"/>
        <v>3</v>
      </c>
      <c r="AQ24" s="43">
        <f t="shared" si="33"/>
        <v>3</v>
      </c>
      <c r="AR24" s="43">
        <f t="shared" si="33"/>
        <v>1</v>
      </c>
      <c r="AS24" s="43">
        <f t="shared" si="33"/>
        <v>2</v>
      </c>
      <c r="AT24" s="43">
        <f t="shared" si="33"/>
        <v>5</v>
      </c>
      <c r="AU24" s="43">
        <f t="shared" si="33"/>
        <v>0</v>
      </c>
      <c r="AV24" s="43">
        <f t="shared" si="33"/>
        <v>3</v>
      </c>
      <c r="AW24" s="43">
        <f t="shared" si="33"/>
        <v>3</v>
      </c>
      <c r="AX24" s="43">
        <f t="shared" si="33"/>
        <v>1</v>
      </c>
      <c r="AY24" s="43">
        <f t="shared" si="33"/>
        <v>2</v>
      </c>
      <c r="AZ24" s="43">
        <f t="shared" si="33"/>
        <v>5</v>
      </c>
      <c r="BA24" s="43">
        <f t="shared" si="33"/>
        <v>0</v>
      </c>
      <c r="BB24" s="43">
        <f t="shared" si="33"/>
        <v>3</v>
      </c>
      <c r="BC24" s="43">
        <f t="shared" si="33"/>
        <v>1</v>
      </c>
      <c r="BD24" s="43">
        <f t="shared" si="33"/>
        <v>3</v>
      </c>
      <c r="BE24" s="43">
        <f t="shared" si="33"/>
        <v>0</v>
      </c>
      <c r="BF24" s="43">
        <f t="shared" si="33"/>
        <v>5</v>
      </c>
      <c r="BG24" s="43">
        <f t="shared" si="33"/>
        <v>2</v>
      </c>
      <c r="BH24" s="43">
        <f t="shared" si="33"/>
        <v>1</v>
      </c>
      <c r="BI24" s="43">
        <f t="shared" si="33"/>
        <v>3</v>
      </c>
      <c r="BJ24" s="43">
        <f t="shared" si="33"/>
        <v>1</v>
      </c>
      <c r="BK24" s="43">
        <f t="shared" si="33"/>
        <v>2</v>
      </c>
      <c r="BL24" s="43">
        <f t="shared" si="33"/>
        <v>5</v>
      </c>
    </row>
    <row r="25" spans="1:64" x14ac:dyDescent="0.25">
      <c r="A25" s="19" t="s">
        <v>456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</row>
    <row r="26" spans="1:64" x14ac:dyDescent="0.25">
      <c r="A26" s="8" t="s">
        <v>457</v>
      </c>
      <c r="B26" s="10" t="s">
        <v>136</v>
      </c>
      <c r="C26" s="39" t="s">
        <v>458</v>
      </c>
      <c r="E26" s="47">
        <f t="shared" ref="E26:AJ26" si="34">closes_per_ae*SUMPRODUCT((hire_region="US")*hire_weight*(ABS((E5-hire_qstart+1)/ramp_months)-ABS((E5-hire_qstart+1)/ramp_months-1)+1)/2)</f>
        <v>0</v>
      </c>
      <c r="F26" s="47">
        <f t="shared" si="34"/>
        <v>0</v>
      </c>
      <c r="G26" s="47">
        <f t="shared" si="34"/>
        <v>0</v>
      </c>
      <c r="H26" s="47">
        <f t="shared" si="34"/>
        <v>0.25</v>
      </c>
      <c r="I26" s="47">
        <f t="shared" si="34"/>
        <v>0.5</v>
      </c>
      <c r="J26" s="47">
        <f t="shared" si="34"/>
        <v>1.25</v>
      </c>
      <c r="K26" s="47">
        <f t="shared" si="34"/>
        <v>2</v>
      </c>
      <c r="L26" s="47">
        <f t="shared" si="34"/>
        <v>2.5</v>
      </c>
      <c r="M26" s="47">
        <f t="shared" si="34"/>
        <v>3.5</v>
      </c>
      <c r="N26" s="47">
        <f t="shared" si="34"/>
        <v>4</v>
      </c>
      <c r="O26" s="47">
        <f t="shared" si="34"/>
        <v>4.5</v>
      </c>
      <c r="P26" s="47">
        <f t="shared" si="34"/>
        <v>5</v>
      </c>
      <c r="Q26" s="47">
        <f t="shared" si="34"/>
        <v>5.5</v>
      </c>
      <c r="R26" s="47">
        <f t="shared" si="34"/>
        <v>6</v>
      </c>
      <c r="S26" s="47">
        <f t="shared" si="34"/>
        <v>7</v>
      </c>
      <c r="T26" s="47">
        <f t="shared" si="34"/>
        <v>8</v>
      </c>
      <c r="U26" s="47">
        <f t="shared" si="34"/>
        <v>8.5</v>
      </c>
      <c r="V26" s="47">
        <f t="shared" si="34"/>
        <v>9</v>
      </c>
      <c r="W26" s="47">
        <f t="shared" si="34"/>
        <v>9</v>
      </c>
      <c r="X26" s="47">
        <f t="shared" si="34"/>
        <v>9</v>
      </c>
      <c r="Y26" s="47">
        <f t="shared" si="34"/>
        <v>9.5</v>
      </c>
      <c r="Z26" s="47">
        <f t="shared" si="34"/>
        <v>10</v>
      </c>
      <c r="AA26" s="47">
        <f t="shared" si="34"/>
        <v>10.5</v>
      </c>
      <c r="AB26" s="47">
        <f t="shared" si="34"/>
        <v>11</v>
      </c>
      <c r="AC26" s="47">
        <f t="shared" si="34"/>
        <v>11</v>
      </c>
      <c r="AD26" s="47">
        <f t="shared" si="34"/>
        <v>11.5</v>
      </c>
      <c r="AE26" s="47">
        <f t="shared" si="34"/>
        <v>12</v>
      </c>
      <c r="AF26" s="47">
        <f t="shared" si="34"/>
        <v>13</v>
      </c>
      <c r="AG26" s="47">
        <f t="shared" si="34"/>
        <v>14</v>
      </c>
      <c r="AH26" s="47">
        <f t="shared" si="34"/>
        <v>15</v>
      </c>
      <c r="AI26" s="47">
        <f t="shared" si="34"/>
        <v>16</v>
      </c>
      <c r="AJ26" s="47">
        <f t="shared" si="34"/>
        <v>16.5</v>
      </c>
      <c r="AK26" s="47">
        <f t="shared" ref="AK26:BL26" si="35">closes_per_ae*SUMPRODUCT((hire_region="US")*hire_weight*(ABS((AK5-hire_qstart+1)/ramp_months)-ABS((AK5-hire_qstart+1)/ramp_months-1)+1)/2)</f>
        <v>17</v>
      </c>
      <c r="AL26" s="47">
        <f t="shared" si="35"/>
        <v>17</v>
      </c>
      <c r="AM26" s="47">
        <f t="shared" si="35"/>
        <v>17</v>
      </c>
      <c r="AN26" s="47">
        <f t="shared" si="35"/>
        <v>17</v>
      </c>
      <c r="AO26" s="47">
        <f t="shared" si="35"/>
        <v>17</v>
      </c>
      <c r="AP26" s="47">
        <f t="shared" si="35"/>
        <v>17.5</v>
      </c>
      <c r="AQ26" s="47">
        <f t="shared" si="35"/>
        <v>18.5</v>
      </c>
      <c r="AR26" s="47">
        <f t="shared" si="35"/>
        <v>19.5</v>
      </c>
      <c r="AS26" s="47">
        <f t="shared" si="35"/>
        <v>21</v>
      </c>
      <c r="AT26" s="47">
        <f t="shared" si="35"/>
        <v>22</v>
      </c>
      <c r="AU26" s="47">
        <f t="shared" si="35"/>
        <v>22.5</v>
      </c>
      <c r="AV26" s="47">
        <f t="shared" si="35"/>
        <v>23</v>
      </c>
      <c r="AW26" s="47">
        <f t="shared" si="35"/>
        <v>23</v>
      </c>
      <c r="AX26" s="47">
        <f t="shared" si="35"/>
        <v>23</v>
      </c>
      <c r="AY26" s="47">
        <f t="shared" si="35"/>
        <v>23</v>
      </c>
      <c r="AZ26" s="47">
        <f t="shared" si="35"/>
        <v>23</v>
      </c>
      <c r="BA26" s="47">
        <f t="shared" si="35"/>
        <v>23</v>
      </c>
      <c r="BB26" s="47">
        <f t="shared" si="35"/>
        <v>23.5</v>
      </c>
      <c r="BC26" s="47">
        <f t="shared" si="35"/>
        <v>24</v>
      </c>
      <c r="BD26" s="47">
        <f t="shared" si="35"/>
        <v>25</v>
      </c>
      <c r="BE26" s="47">
        <f t="shared" si="35"/>
        <v>26</v>
      </c>
      <c r="BF26" s="47">
        <f t="shared" si="35"/>
        <v>27</v>
      </c>
      <c r="BG26" s="47">
        <f t="shared" si="35"/>
        <v>28</v>
      </c>
      <c r="BH26" s="47">
        <f t="shared" si="35"/>
        <v>28.5</v>
      </c>
      <c r="BI26" s="47">
        <f t="shared" si="35"/>
        <v>29</v>
      </c>
      <c r="BJ26" s="47">
        <f t="shared" si="35"/>
        <v>29</v>
      </c>
      <c r="BK26" s="47">
        <f t="shared" si="35"/>
        <v>29</v>
      </c>
      <c r="BL26" s="47">
        <f t="shared" si="35"/>
        <v>29</v>
      </c>
    </row>
    <row r="27" spans="1:64" x14ac:dyDescent="0.25">
      <c r="A27" s="8" t="s">
        <v>459</v>
      </c>
      <c r="B27" s="10" t="s">
        <v>136</v>
      </c>
      <c r="C27" s="39" t="s">
        <v>460</v>
      </c>
      <c r="E27" s="47">
        <f t="shared" ref="E27:AJ27" si="36">closes_per_ae*SUMPRODUCT((hire_region="UK")*hire_weight*(ABS((E5-hire_qstart+1)/ramp_months)-ABS((E5-hire_qstart+1)/ramp_months-1)+1)/2)</f>
        <v>0</v>
      </c>
      <c r="F27" s="47">
        <f t="shared" si="36"/>
        <v>0</v>
      </c>
      <c r="G27" s="47">
        <f t="shared" si="36"/>
        <v>0</v>
      </c>
      <c r="H27" s="47">
        <f t="shared" si="36"/>
        <v>0</v>
      </c>
      <c r="I27" s="47">
        <f t="shared" si="36"/>
        <v>0</v>
      </c>
      <c r="J27" s="47">
        <f t="shared" si="36"/>
        <v>0</v>
      </c>
      <c r="K27" s="47">
        <f t="shared" si="36"/>
        <v>0</v>
      </c>
      <c r="L27" s="47">
        <f t="shared" si="36"/>
        <v>0</v>
      </c>
      <c r="M27" s="47">
        <f t="shared" si="36"/>
        <v>0</v>
      </c>
      <c r="N27" s="47">
        <f t="shared" si="36"/>
        <v>0</v>
      </c>
      <c r="O27" s="47">
        <f t="shared" si="36"/>
        <v>0</v>
      </c>
      <c r="P27" s="47">
        <f t="shared" si="36"/>
        <v>0</v>
      </c>
      <c r="Q27" s="47">
        <f t="shared" si="36"/>
        <v>0</v>
      </c>
      <c r="R27" s="47">
        <f t="shared" si="36"/>
        <v>0</v>
      </c>
      <c r="S27" s="47">
        <f t="shared" si="36"/>
        <v>0</v>
      </c>
      <c r="T27" s="47">
        <f t="shared" si="36"/>
        <v>0</v>
      </c>
      <c r="U27" s="47">
        <f t="shared" si="36"/>
        <v>0</v>
      </c>
      <c r="V27" s="47">
        <f t="shared" si="36"/>
        <v>0</v>
      </c>
      <c r="W27" s="47">
        <f t="shared" si="36"/>
        <v>0</v>
      </c>
      <c r="X27" s="47">
        <f t="shared" si="36"/>
        <v>0</v>
      </c>
      <c r="Y27" s="47">
        <f t="shared" si="36"/>
        <v>0</v>
      </c>
      <c r="Z27" s="47">
        <f t="shared" si="36"/>
        <v>0</v>
      </c>
      <c r="AA27" s="47">
        <f t="shared" si="36"/>
        <v>0</v>
      </c>
      <c r="AB27" s="47">
        <f t="shared" si="36"/>
        <v>0</v>
      </c>
      <c r="AC27" s="47">
        <f t="shared" si="36"/>
        <v>0.5</v>
      </c>
      <c r="AD27" s="47">
        <f t="shared" si="36"/>
        <v>1</v>
      </c>
      <c r="AE27" s="47">
        <f t="shared" si="36"/>
        <v>1.5</v>
      </c>
      <c r="AF27" s="47">
        <f t="shared" si="36"/>
        <v>2</v>
      </c>
      <c r="AG27" s="47">
        <f t="shared" si="36"/>
        <v>2</v>
      </c>
      <c r="AH27" s="47">
        <f t="shared" si="36"/>
        <v>2</v>
      </c>
      <c r="AI27" s="47">
        <f t="shared" si="36"/>
        <v>2</v>
      </c>
      <c r="AJ27" s="47">
        <f t="shared" si="36"/>
        <v>2.5</v>
      </c>
      <c r="AK27" s="47">
        <f t="shared" ref="AK27:BL27" si="37">closes_per_ae*SUMPRODUCT((hire_region="UK")*hire_weight*(ABS((AK5-hire_qstart+1)/ramp_months)-ABS((AK5-hire_qstart+1)/ramp_months-1)+1)/2)</f>
        <v>3</v>
      </c>
      <c r="AL27" s="47">
        <f t="shared" si="37"/>
        <v>4</v>
      </c>
      <c r="AM27" s="47">
        <f t="shared" si="37"/>
        <v>5</v>
      </c>
      <c r="AN27" s="47">
        <f t="shared" si="37"/>
        <v>5.5</v>
      </c>
      <c r="AO27" s="47">
        <f t="shared" si="37"/>
        <v>6</v>
      </c>
      <c r="AP27" s="47">
        <f t="shared" si="37"/>
        <v>6</v>
      </c>
      <c r="AQ27" s="47">
        <f t="shared" si="37"/>
        <v>6</v>
      </c>
      <c r="AR27" s="47">
        <f t="shared" si="37"/>
        <v>6</v>
      </c>
      <c r="AS27" s="47">
        <f t="shared" si="37"/>
        <v>6</v>
      </c>
      <c r="AT27" s="47">
        <f t="shared" si="37"/>
        <v>6.5</v>
      </c>
      <c r="AU27" s="47">
        <f t="shared" si="37"/>
        <v>7</v>
      </c>
      <c r="AV27" s="47">
        <f t="shared" si="37"/>
        <v>7.5</v>
      </c>
      <c r="AW27" s="47">
        <f t="shared" si="37"/>
        <v>8</v>
      </c>
      <c r="AX27" s="47">
        <f t="shared" si="37"/>
        <v>8</v>
      </c>
      <c r="AY27" s="47">
        <f t="shared" si="37"/>
        <v>8</v>
      </c>
      <c r="AZ27" s="47">
        <f t="shared" si="37"/>
        <v>8</v>
      </c>
      <c r="BA27" s="47">
        <f t="shared" si="37"/>
        <v>8</v>
      </c>
      <c r="BB27" s="47">
        <f t="shared" si="37"/>
        <v>8</v>
      </c>
      <c r="BC27" s="47">
        <f t="shared" si="37"/>
        <v>8</v>
      </c>
      <c r="BD27" s="47">
        <f t="shared" si="37"/>
        <v>8</v>
      </c>
      <c r="BE27" s="47">
        <f t="shared" si="37"/>
        <v>8</v>
      </c>
      <c r="BF27" s="47">
        <f t="shared" si="37"/>
        <v>8</v>
      </c>
      <c r="BG27" s="47">
        <f t="shared" si="37"/>
        <v>8</v>
      </c>
      <c r="BH27" s="47">
        <f t="shared" si="37"/>
        <v>8.5</v>
      </c>
      <c r="BI27" s="47">
        <f t="shared" si="37"/>
        <v>9</v>
      </c>
      <c r="BJ27" s="47">
        <f t="shared" si="37"/>
        <v>9.5</v>
      </c>
      <c r="BK27" s="47">
        <f t="shared" si="37"/>
        <v>10</v>
      </c>
      <c r="BL27" s="47">
        <f t="shared" si="37"/>
        <v>10</v>
      </c>
    </row>
    <row r="28" spans="1:64" x14ac:dyDescent="0.25">
      <c r="A28" s="8" t="s">
        <v>461</v>
      </c>
      <c r="B28" s="10" t="s">
        <v>136</v>
      </c>
      <c r="E28" s="47">
        <f t="shared" ref="E28:AJ28" si="38">closes_per_ae*SUMPRODUCT((hire_region="EU")*hire_weight*(ABS((E5-hire_qstart+1)/ramp_months)-ABS((E5-hire_qstart+1)/ramp_months-1)+1)/2)</f>
        <v>0</v>
      </c>
      <c r="F28" s="47">
        <f t="shared" si="38"/>
        <v>0</v>
      </c>
      <c r="G28" s="47">
        <f t="shared" si="38"/>
        <v>0</v>
      </c>
      <c r="H28" s="47">
        <f t="shared" si="38"/>
        <v>0</v>
      </c>
      <c r="I28" s="47">
        <f t="shared" si="38"/>
        <v>0</v>
      </c>
      <c r="J28" s="47">
        <f t="shared" si="38"/>
        <v>0</v>
      </c>
      <c r="K28" s="47">
        <f t="shared" si="38"/>
        <v>0</v>
      </c>
      <c r="L28" s="47">
        <f t="shared" si="38"/>
        <v>0</v>
      </c>
      <c r="M28" s="47">
        <f t="shared" si="38"/>
        <v>0</v>
      </c>
      <c r="N28" s="47">
        <f t="shared" si="38"/>
        <v>0</v>
      </c>
      <c r="O28" s="47">
        <f t="shared" si="38"/>
        <v>0</v>
      </c>
      <c r="P28" s="47">
        <f t="shared" si="38"/>
        <v>0</v>
      </c>
      <c r="Q28" s="47">
        <f t="shared" si="38"/>
        <v>0</v>
      </c>
      <c r="R28" s="47">
        <f t="shared" si="38"/>
        <v>0</v>
      </c>
      <c r="S28" s="47">
        <f t="shared" si="38"/>
        <v>0</v>
      </c>
      <c r="T28" s="47">
        <f t="shared" si="38"/>
        <v>0</v>
      </c>
      <c r="U28" s="47">
        <f t="shared" si="38"/>
        <v>0</v>
      </c>
      <c r="V28" s="47">
        <f t="shared" si="38"/>
        <v>0</v>
      </c>
      <c r="W28" s="47">
        <f t="shared" si="38"/>
        <v>0</v>
      </c>
      <c r="X28" s="47">
        <f t="shared" si="38"/>
        <v>0</v>
      </c>
      <c r="Y28" s="47">
        <f t="shared" si="38"/>
        <v>0</v>
      </c>
      <c r="Z28" s="47">
        <f t="shared" si="38"/>
        <v>0</v>
      </c>
      <c r="AA28" s="47">
        <f t="shared" si="38"/>
        <v>0</v>
      </c>
      <c r="AB28" s="47">
        <f t="shared" si="38"/>
        <v>0</v>
      </c>
      <c r="AC28" s="47">
        <f t="shared" si="38"/>
        <v>0</v>
      </c>
      <c r="AD28" s="47">
        <f t="shared" si="38"/>
        <v>0</v>
      </c>
      <c r="AE28" s="47">
        <f t="shared" si="38"/>
        <v>0</v>
      </c>
      <c r="AF28" s="47">
        <f t="shared" si="38"/>
        <v>0</v>
      </c>
      <c r="AG28" s="47">
        <f t="shared" si="38"/>
        <v>0</v>
      </c>
      <c r="AH28" s="47">
        <f t="shared" si="38"/>
        <v>0</v>
      </c>
      <c r="AI28" s="47">
        <f t="shared" si="38"/>
        <v>0</v>
      </c>
      <c r="AJ28" s="47">
        <f t="shared" si="38"/>
        <v>0</v>
      </c>
      <c r="AK28" s="47">
        <f t="shared" ref="AK28:BL28" si="39">closes_per_ae*SUMPRODUCT((hire_region="EU")*hire_weight*(ABS((AK5-hire_qstart+1)/ramp_months)-ABS((AK5-hire_qstart+1)/ramp_months-1)+1)/2)</f>
        <v>0</v>
      </c>
      <c r="AL28" s="47">
        <f t="shared" si="39"/>
        <v>0</v>
      </c>
      <c r="AM28" s="47">
        <f t="shared" si="39"/>
        <v>0</v>
      </c>
      <c r="AN28" s="47">
        <f t="shared" si="39"/>
        <v>0</v>
      </c>
      <c r="AO28" s="47">
        <f t="shared" si="39"/>
        <v>0</v>
      </c>
      <c r="AP28" s="47">
        <f t="shared" si="39"/>
        <v>0</v>
      </c>
      <c r="AQ28" s="47">
        <f t="shared" si="39"/>
        <v>0</v>
      </c>
      <c r="AR28" s="47">
        <f t="shared" si="39"/>
        <v>0</v>
      </c>
      <c r="AS28" s="47">
        <f t="shared" si="39"/>
        <v>0</v>
      </c>
      <c r="AT28" s="47">
        <f t="shared" si="39"/>
        <v>0</v>
      </c>
      <c r="AU28" s="47">
        <f t="shared" si="39"/>
        <v>0</v>
      </c>
      <c r="AV28" s="47">
        <f t="shared" si="39"/>
        <v>0.5</v>
      </c>
      <c r="AW28" s="47">
        <f t="shared" si="39"/>
        <v>1.5</v>
      </c>
      <c r="AX28" s="47">
        <f t="shared" si="39"/>
        <v>2.5</v>
      </c>
      <c r="AY28" s="47">
        <f t="shared" si="39"/>
        <v>3.5</v>
      </c>
      <c r="AZ28" s="47">
        <f t="shared" si="39"/>
        <v>4</v>
      </c>
      <c r="BA28" s="47">
        <f t="shared" si="39"/>
        <v>4</v>
      </c>
      <c r="BB28" s="47">
        <f t="shared" si="39"/>
        <v>4</v>
      </c>
      <c r="BC28" s="47">
        <f t="shared" si="39"/>
        <v>4</v>
      </c>
      <c r="BD28" s="47">
        <f t="shared" si="39"/>
        <v>4</v>
      </c>
      <c r="BE28" s="47">
        <f t="shared" si="39"/>
        <v>4</v>
      </c>
      <c r="BF28" s="47">
        <f t="shared" si="39"/>
        <v>4</v>
      </c>
      <c r="BG28" s="47">
        <f t="shared" si="39"/>
        <v>4</v>
      </c>
      <c r="BH28" s="47">
        <f t="shared" si="39"/>
        <v>4</v>
      </c>
      <c r="BI28" s="47">
        <f t="shared" si="39"/>
        <v>4</v>
      </c>
      <c r="BJ28" s="47">
        <f t="shared" si="39"/>
        <v>4.5</v>
      </c>
      <c r="BK28" s="47">
        <f t="shared" si="39"/>
        <v>5</v>
      </c>
      <c r="BL28" s="47">
        <f t="shared" si="39"/>
        <v>5.5</v>
      </c>
    </row>
    <row r="29" spans="1:64" x14ac:dyDescent="0.25">
      <c r="A29" s="8" t="s">
        <v>462</v>
      </c>
      <c r="B29" s="10" t="s">
        <v>136</v>
      </c>
      <c r="E29" s="47">
        <f t="shared" ref="E29:AJ29" si="40">IF(E5&lt;=founder_end1,founder_r1,IF(E5&lt;=founder_end2,founder_r2,IF(E5&lt;=founder_end3,founder_r3,0)))</f>
        <v>3</v>
      </c>
      <c r="F29" s="47">
        <f t="shared" si="40"/>
        <v>3</v>
      </c>
      <c r="G29" s="47">
        <f t="shared" si="40"/>
        <v>3</v>
      </c>
      <c r="H29" s="47">
        <f t="shared" si="40"/>
        <v>3</v>
      </c>
      <c r="I29" s="47">
        <f t="shared" si="40"/>
        <v>3</v>
      </c>
      <c r="J29" s="47">
        <f t="shared" si="40"/>
        <v>3</v>
      </c>
      <c r="K29" s="47">
        <f t="shared" si="40"/>
        <v>2</v>
      </c>
      <c r="L29" s="47">
        <f t="shared" si="40"/>
        <v>2</v>
      </c>
      <c r="M29" s="47">
        <f t="shared" si="40"/>
        <v>2</v>
      </c>
      <c r="N29" s="47">
        <f t="shared" si="40"/>
        <v>2</v>
      </c>
      <c r="O29" s="47">
        <f t="shared" si="40"/>
        <v>2</v>
      </c>
      <c r="P29" s="47">
        <f t="shared" si="40"/>
        <v>2</v>
      </c>
      <c r="Q29" s="47">
        <f t="shared" si="40"/>
        <v>1</v>
      </c>
      <c r="R29" s="47">
        <f t="shared" si="40"/>
        <v>1</v>
      </c>
      <c r="S29" s="47">
        <f t="shared" si="40"/>
        <v>1</v>
      </c>
      <c r="T29" s="47">
        <f t="shared" si="40"/>
        <v>1</v>
      </c>
      <c r="U29" s="47">
        <f t="shared" si="40"/>
        <v>1</v>
      </c>
      <c r="V29" s="47">
        <f t="shared" si="40"/>
        <v>1</v>
      </c>
      <c r="W29" s="47">
        <f t="shared" si="40"/>
        <v>0</v>
      </c>
      <c r="X29" s="47">
        <f t="shared" si="40"/>
        <v>0</v>
      </c>
      <c r="Y29" s="47">
        <f t="shared" si="40"/>
        <v>0</v>
      </c>
      <c r="Z29" s="47">
        <f t="shared" si="40"/>
        <v>0</v>
      </c>
      <c r="AA29" s="47">
        <f t="shared" si="40"/>
        <v>0</v>
      </c>
      <c r="AB29" s="47">
        <f t="shared" si="40"/>
        <v>0</v>
      </c>
      <c r="AC29" s="47">
        <f t="shared" si="40"/>
        <v>0</v>
      </c>
      <c r="AD29" s="47">
        <f t="shared" si="40"/>
        <v>0</v>
      </c>
      <c r="AE29" s="47">
        <f t="shared" si="40"/>
        <v>0</v>
      </c>
      <c r="AF29" s="47">
        <f t="shared" si="40"/>
        <v>0</v>
      </c>
      <c r="AG29" s="47">
        <f t="shared" si="40"/>
        <v>0</v>
      </c>
      <c r="AH29" s="47">
        <f t="shared" si="40"/>
        <v>0</v>
      </c>
      <c r="AI29" s="47">
        <f t="shared" si="40"/>
        <v>0</v>
      </c>
      <c r="AJ29" s="47">
        <f t="shared" si="40"/>
        <v>0</v>
      </c>
      <c r="AK29" s="47">
        <f t="shared" ref="AK29:BL29" si="41">IF(AK5&lt;=founder_end1,founder_r1,IF(AK5&lt;=founder_end2,founder_r2,IF(AK5&lt;=founder_end3,founder_r3,0)))</f>
        <v>0</v>
      </c>
      <c r="AL29" s="47">
        <f t="shared" si="41"/>
        <v>0</v>
      </c>
      <c r="AM29" s="47">
        <f t="shared" si="41"/>
        <v>0</v>
      </c>
      <c r="AN29" s="47">
        <f t="shared" si="41"/>
        <v>0</v>
      </c>
      <c r="AO29" s="47">
        <f t="shared" si="41"/>
        <v>0</v>
      </c>
      <c r="AP29" s="47">
        <f t="shared" si="41"/>
        <v>0</v>
      </c>
      <c r="AQ29" s="47">
        <f t="shared" si="41"/>
        <v>0</v>
      </c>
      <c r="AR29" s="47">
        <f t="shared" si="41"/>
        <v>0</v>
      </c>
      <c r="AS29" s="47">
        <f t="shared" si="41"/>
        <v>0</v>
      </c>
      <c r="AT29" s="47">
        <f t="shared" si="41"/>
        <v>0</v>
      </c>
      <c r="AU29" s="47">
        <f t="shared" si="41"/>
        <v>0</v>
      </c>
      <c r="AV29" s="47">
        <f t="shared" si="41"/>
        <v>0</v>
      </c>
      <c r="AW29" s="47">
        <f t="shared" si="41"/>
        <v>0</v>
      </c>
      <c r="AX29" s="47">
        <f t="shared" si="41"/>
        <v>0</v>
      </c>
      <c r="AY29" s="47">
        <f t="shared" si="41"/>
        <v>0</v>
      </c>
      <c r="AZ29" s="47">
        <f t="shared" si="41"/>
        <v>0</v>
      </c>
      <c r="BA29" s="47">
        <f t="shared" si="41"/>
        <v>0</v>
      </c>
      <c r="BB29" s="47">
        <f t="shared" si="41"/>
        <v>0</v>
      </c>
      <c r="BC29" s="47">
        <f t="shared" si="41"/>
        <v>0</v>
      </c>
      <c r="BD29" s="47">
        <f t="shared" si="41"/>
        <v>0</v>
      </c>
      <c r="BE29" s="47">
        <f t="shared" si="41"/>
        <v>0</v>
      </c>
      <c r="BF29" s="47">
        <f t="shared" si="41"/>
        <v>0</v>
      </c>
      <c r="BG29" s="47">
        <f t="shared" si="41"/>
        <v>0</v>
      </c>
      <c r="BH29" s="47">
        <f t="shared" si="41"/>
        <v>0</v>
      </c>
      <c r="BI29" s="47">
        <f t="shared" si="41"/>
        <v>0</v>
      </c>
      <c r="BJ29" s="47">
        <f t="shared" si="41"/>
        <v>0</v>
      </c>
      <c r="BK29" s="47">
        <f t="shared" si="41"/>
        <v>0</v>
      </c>
      <c r="BL29" s="47">
        <f t="shared" si="41"/>
        <v>0</v>
      </c>
    </row>
    <row r="30" spans="1:64" x14ac:dyDescent="0.25">
      <c r="A30" s="8" t="s">
        <v>463</v>
      </c>
      <c r="B30" s="10" t="s">
        <v>136</v>
      </c>
      <c r="E30" s="47">
        <f t="shared" ref="E30:AJ30" si="42">inbound_base+inbound_slope*E5</f>
        <v>1.05</v>
      </c>
      <c r="F30" s="47">
        <f t="shared" si="42"/>
        <v>1.1000000000000001</v>
      </c>
      <c r="G30" s="47">
        <f t="shared" si="42"/>
        <v>1.1499999999999999</v>
      </c>
      <c r="H30" s="47">
        <f t="shared" si="42"/>
        <v>1.2</v>
      </c>
      <c r="I30" s="47">
        <f t="shared" si="42"/>
        <v>1.25</v>
      </c>
      <c r="J30" s="47">
        <f t="shared" si="42"/>
        <v>1.3</v>
      </c>
      <c r="K30" s="47">
        <f t="shared" si="42"/>
        <v>1.35</v>
      </c>
      <c r="L30" s="47">
        <f t="shared" si="42"/>
        <v>1.4</v>
      </c>
      <c r="M30" s="47">
        <f t="shared" si="42"/>
        <v>1.45</v>
      </c>
      <c r="N30" s="47">
        <f t="shared" si="42"/>
        <v>1.5</v>
      </c>
      <c r="O30" s="47">
        <f t="shared" si="42"/>
        <v>1.55</v>
      </c>
      <c r="P30" s="47">
        <f t="shared" si="42"/>
        <v>1.6</v>
      </c>
      <c r="Q30" s="47">
        <f t="shared" si="42"/>
        <v>1.65</v>
      </c>
      <c r="R30" s="47">
        <f t="shared" si="42"/>
        <v>1.7000000000000002</v>
      </c>
      <c r="S30" s="47">
        <f t="shared" si="42"/>
        <v>1.75</v>
      </c>
      <c r="T30" s="47">
        <f t="shared" si="42"/>
        <v>1.8</v>
      </c>
      <c r="U30" s="47">
        <f t="shared" si="42"/>
        <v>1.85</v>
      </c>
      <c r="V30" s="47">
        <f t="shared" si="42"/>
        <v>1.9</v>
      </c>
      <c r="W30" s="47">
        <f t="shared" si="42"/>
        <v>1.9500000000000002</v>
      </c>
      <c r="X30" s="47">
        <f t="shared" si="42"/>
        <v>2</v>
      </c>
      <c r="Y30" s="47">
        <f t="shared" si="42"/>
        <v>2.0499999999999998</v>
      </c>
      <c r="Z30" s="47">
        <f t="shared" si="42"/>
        <v>2.1</v>
      </c>
      <c r="AA30" s="47">
        <f t="shared" si="42"/>
        <v>2.1500000000000004</v>
      </c>
      <c r="AB30" s="47">
        <f t="shared" si="42"/>
        <v>2.2000000000000002</v>
      </c>
      <c r="AC30" s="47">
        <f t="shared" si="42"/>
        <v>2.25</v>
      </c>
      <c r="AD30" s="47">
        <f t="shared" si="42"/>
        <v>2.2999999999999998</v>
      </c>
      <c r="AE30" s="47">
        <f t="shared" si="42"/>
        <v>2.35</v>
      </c>
      <c r="AF30" s="47">
        <f t="shared" si="42"/>
        <v>2.4000000000000004</v>
      </c>
      <c r="AG30" s="47">
        <f t="shared" si="42"/>
        <v>2.4500000000000002</v>
      </c>
      <c r="AH30" s="47">
        <f t="shared" si="42"/>
        <v>2.5</v>
      </c>
      <c r="AI30" s="47">
        <f t="shared" si="42"/>
        <v>2.5499999999999998</v>
      </c>
      <c r="AJ30" s="47">
        <f t="shared" si="42"/>
        <v>2.6</v>
      </c>
      <c r="AK30" s="47">
        <f t="shared" ref="AK30:BL30" si="43">inbound_base+inbound_slope*AK5</f>
        <v>2.6500000000000004</v>
      </c>
      <c r="AL30" s="47">
        <f t="shared" si="43"/>
        <v>2.7</v>
      </c>
      <c r="AM30" s="47">
        <f t="shared" si="43"/>
        <v>2.75</v>
      </c>
      <c r="AN30" s="47">
        <f t="shared" si="43"/>
        <v>2.8</v>
      </c>
      <c r="AO30" s="47">
        <f t="shared" si="43"/>
        <v>2.85</v>
      </c>
      <c r="AP30" s="47">
        <f t="shared" si="43"/>
        <v>2.9000000000000004</v>
      </c>
      <c r="AQ30" s="47">
        <f t="shared" si="43"/>
        <v>2.95</v>
      </c>
      <c r="AR30" s="47">
        <f t="shared" si="43"/>
        <v>3</v>
      </c>
      <c r="AS30" s="47">
        <f t="shared" si="43"/>
        <v>3.0500000000000003</v>
      </c>
      <c r="AT30" s="47">
        <f t="shared" si="43"/>
        <v>3.1</v>
      </c>
      <c r="AU30" s="47">
        <f t="shared" si="43"/>
        <v>3.15</v>
      </c>
      <c r="AV30" s="47">
        <f t="shared" si="43"/>
        <v>3.2</v>
      </c>
      <c r="AW30" s="47">
        <f t="shared" si="43"/>
        <v>3.25</v>
      </c>
      <c r="AX30" s="47">
        <f t="shared" si="43"/>
        <v>3.3000000000000003</v>
      </c>
      <c r="AY30" s="47">
        <f t="shared" si="43"/>
        <v>3.35</v>
      </c>
      <c r="AZ30" s="47">
        <f t="shared" si="43"/>
        <v>3.4000000000000004</v>
      </c>
      <c r="BA30" s="47">
        <f t="shared" si="43"/>
        <v>3.45</v>
      </c>
      <c r="BB30" s="47">
        <f t="shared" si="43"/>
        <v>3.5</v>
      </c>
      <c r="BC30" s="47">
        <f t="shared" si="43"/>
        <v>3.5500000000000003</v>
      </c>
      <c r="BD30" s="47">
        <f t="shared" si="43"/>
        <v>3.6</v>
      </c>
      <c r="BE30" s="47">
        <f t="shared" si="43"/>
        <v>3.6500000000000004</v>
      </c>
      <c r="BF30" s="47">
        <f t="shared" si="43"/>
        <v>3.7</v>
      </c>
      <c r="BG30" s="47">
        <f t="shared" si="43"/>
        <v>3.75</v>
      </c>
      <c r="BH30" s="47">
        <f t="shared" si="43"/>
        <v>3.8000000000000003</v>
      </c>
      <c r="BI30" s="47">
        <f t="shared" si="43"/>
        <v>3.85</v>
      </c>
      <c r="BJ30" s="47">
        <f t="shared" si="43"/>
        <v>3.9000000000000004</v>
      </c>
      <c r="BK30" s="47">
        <f t="shared" si="43"/>
        <v>3.95</v>
      </c>
      <c r="BL30" s="47">
        <f t="shared" si="43"/>
        <v>4</v>
      </c>
    </row>
    <row r="31" spans="1:64" x14ac:dyDescent="0.25">
      <c r="A31" s="8" t="s">
        <v>464</v>
      </c>
      <c r="B31" s="10" t="s">
        <v>136</v>
      </c>
      <c r="E31" s="47">
        <f t="shared" ref="E31:AJ31" si="44">IF(E5&lt;channel_start,0,channel_base+channel_slope*(E5-channel_start))</f>
        <v>0</v>
      </c>
      <c r="F31" s="47">
        <f t="shared" si="44"/>
        <v>0</v>
      </c>
      <c r="G31" s="47">
        <f t="shared" si="44"/>
        <v>0</v>
      </c>
      <c r="H31" s="47">
        <f t="shared" si="44"/>
        <v>0</v>
      </c>
      <c r="I31" s="47">
        <f t="shared" si="44"/>
        <v>0</v>
      </c>
      <c r="J31" s="47">
        <f t="shared" si="44"/>
        <v>0</v>
      </c>
      <c r="K31" s="47">
        <f t="shared" si="44"/>
        <v>0</v>
      </c>
      <c r="L31" s="47">
        <f t="shared" si="44"/>
        <v>0</v>
      </c>
      <c r="M31" s="47">
        <f t="shared" si="44"/>
        <v>0</v>
      </c>
      <c r="N31" s="47">
        <f t="shared" si="44"/>
        <v>0</v>
      </c>
      <c r="O31" s="47">
        <f t="shared" si="44"/>
        <v>0</v>
      </c>
      <c r="P31" s="47">
        <f t="shared" si="44"/>
        <v>0</v>
      </c>
      <c r="Q31" s="47">
        <f t="shared" si="44"/>
        <v>1</v>
      </c>
      <c r="R31" s="47">
        <f t="shared" si="44"/>
        <v>1.2</v>
      </c>
      <c r="S31" s="47">
        <f t="shared" si="44"/>
        <v>1.4</v>
      </c>
      <c r="T31" s="47">
        <f t="shared" si="44"/>
        <v>1.6</v>
      </c>
      <c r="U31" s="47">
        <f t="shared" si="44"/>
        <v>1.8</v>
      </c>
      <c r="V31" s="47">
        <f t="shared" si="44"/>
        <v>2</v>
      </c>
      <c r="W31" s="47">
        <f t="shared" si="44"/>
        <v>2.2000000000000002</v>
      </c>
      <c r="X31" s="47">
        <f t="shared" si="44"/>
        <v>2.4000000000000004</v>
      </c>
      <c r="Y31" s="47">
        <f t="shared" si="44"/>
        <v>2.6</v>
      </c>
      <c r="Z31" s="47">
        <f t="shared" si="44"/>
        <v>2.8</v>
      </c>
      <c r="AA31" s="47">
        <f t="shared" si="44"/>
        <v>3</v>
      </c>
      <c r="AB31" s="47">
        <f t="shared" si="44"/>
        <v>3.2</v>
      </c>
      <c r="AC31" s="47">
        <f t="shared" si="44"/>
        <v>3.4000000000000004</v>
      </c>
      <c r="AD31" s="47">
        <f t="shared" si="44"/>
        <v>3.6</v>
      </c>
      <c r="AE31" s="47">
        <f t="shared" si="44"/>
        <v>3.8000000000000003</v>
      </c>
      <c r="AF31" s="47">
        <f t="shared" si="44"/>
        <v>4</v>
      </c>
      <c r="AG31" s="47">
        <f t="shared" si="44"/>
        <v>4.2</v>
      </c>
      <c r="AH31" s="47">
        <f t="shared" si="44"/>
        <v>4.4000000000000004</v>
      </c>
      <c r="AI31" s="47">
        <f t="shared" si="44"/>
        <v>4.5999999999999996</v>
      </c>
      <c r="AJ31" s="47">
        <f t="shared" si="44"/>
        <v>4.8000000000000007</v>
      </c>
      <c r="AK31" s="47">
        <f t="shared" ref="AK31:BL31" si="45">IF(AK5&lt;channel_start,0,channel_base+channel_slope*(AK5-channel_start))</f>
        <v>5</v>
      </c>
      <c r="AL31" s="47">
        <f t="shared" si="45"/>
        <v>5.2</v>
      </c>
      <c r="AM31" s="47">
        <f t="shared" si="45"/>
        <v>5.4</v>
      </c>
      <c r="AN31" s="47">
        <f t="shared" si="45"/>
        <v>5.6000000000000005</v>
      </c>
      <c r="AO31" s="47">
        <f t="shared" si="45"/>
        <v>5.8000000000000007</v>
      </c>
      <c r="AP31" s="47">
        <f t="shared" si="45"/>
        <v>6</v>
      </c>
      <c r="AQ31" s="47">
        <f t="shared" si="45"/>
        <v>6.2</v>
      </c>
      <c r="AR31" s="47">
        <f t="shared" si="45"/>
        <v>6.4</v>
      </c>
      <c r="AS31" s="47">
        <f t="shared" si="45"/>
        <v>6.6000000000000005</v>
      </c>
      <c r="AT31" s="47">
        <f t="shared" si="45"/>
        <v>6.8000000000000007</v>
      </c>
      <c r="AU31" s="47">
        <f t="shared" si="45"/>
        <v>7</v>
      </c>
      <c r="AV31" s="47">
        <f t="shared" si="45"/>
        <v>7.2</v>
      </c>
      <c r="AW31" s="47">
        <f t="shared" si="45"/>
        <v>7.4</v>
      </c>
      <c r="AX31" s="47">
        <f t="shared" si="45"/>
        <v>7.6000000000000005</v>
      </c>
      <c r="AY31" s="47">
        <f t="shared" si="45"/>
        <v>7.8000000000000007</v>
      </c>
      <c r="AZ31" s="47">
        <f t="shared" si="45"/>
        <v>8</v>
      </c>
      <c r="BA31" s="47">
        <f t="shared" si="45"/>
        <v>8.1999999999999993</v>
      </c>
      <c r="BB31" s="47">
        <f t="shared" si="45"/>
        <v>8.4</v>
      </c>
      <c r="BC31" s="47">
        <f t="shared" si="45"/>
        <v>8.6000000000000014</v>
      </c>
      <c r="BD31" s="47">
        <f t="shared" si="45"/>
        <v>8.8000000000000007</v>
      </c>
      <c r="BE31" s="47">
        <f t="shared" si="45"/>
        <v>9</v>
      </c>
      <c r="BF31" s="47">
        <f t="shared" si="45"/>
        <v>9.2000000000000011</v>
      </c>
      <c r="BG31" s="47">
        <f t="shared" si="45"/>
        <v>9.4</v>
      </c>
      <c r="BH31" s="47">
        <f t="shared" si="45"/>
        <v>9.6</v>
      </c>
      <c r="BI31" s="47">
        <f t="shared" si="45"/>
        <v>9.8000000000000007</v>
      </c>
      <c r="BJ31" s="47">
        <f t="shared" si="45"/>
        <v>10</v>
      </c>
      <c r="BK31" s="47">
        <f t="shared" si="45"/>
        <v>10.200000000000001</v>
      </c>
      <c r="BL31" s="47">
        <f t="shared" si="45"/>
        <v>10.4</v>
      </c>
    </row>
    <row r="32" spans="1:64" x14ac:dyDescent="0.25">
      <c r="A32" s="8" t="s">
        <v>465</v>
      </c>
      <c r="B32" s="10" t="s">
        <v>136</v>
      </c>
      <c r="C32" s="39" t="s">
        <v>466</v>
      </c>
      <c r="E32" s="47">
        <f t="shared" ref="E32:AJ32" si="46">E26+E29+E30+E31</f>
        <v>4.05</v>
      </c>
      <c r="F32" s="47">
        <f t="shared" si="46"/>
        <v>4.0999999999999996</v>
      </c>
      <c r="G32" s="47">
        <f t="shared" si="46"/>
        <v>4.1500000000000004</v>
      </c>
      <c r="H32" s="47">
        <f t="shared" si="46"/>
        <v>4.45</v>
      </c>
      <c r="I32" s="47">
        <f t="shared" si="46"/>
        <v>4.75</v>
      </c>
      <c r="J32" s="47">
        <f t="shared" si="46"/>
        <v>5.55</v>
      </c>
      <c r="K32" s="47">
        <f t="shared" si="46"/>
        <v>5.35</v>
      </c>
      <c r="L32" s="47">
        <f t="shared" si="46"/>
        <v>5.9</v>
      </c>
      <c r="M32" s="47">
        <f t="shared" si="46"/>
        <v>6.95</v>
      </c>
      <c r="N32" s="47">
        <f t="shared" si="46"/>
        <v>7.5</v>
      </c>
      <c r="O32" s="47">
        <f t="shared" si="46"/>
        <v>8.0500000000000007</v>
      </c>
      <c r="P32" s="47">
        <f t="shared" si="46"/>
        <v>8.6</v>
      </c>
      <c r="Q32" s="47">
        <f t="shared" si="46"/>
        <v>9.15</v>
      </c>
      <c r="R32" s="47">
        <f t="shared" si="46"/>
        <v>9.8999999999999986</v>
      </c>
      <c r="S32" s="47">
        <f t="shared" si="46"/>
        <v>11.15</v>
      </c>
      <c r="T32" s="47">
        <f t="shared" si="46"/>
        <v>12.4</v>
      </c>
      <c r="U32" s="47">
        <f t="shared" si="46"/>
        <v>13.15</v>
      </c>
      <c r="V32" s="47">
        <f t="shared" si="46"/>
        <v>13.9</v>
      </c>
      <c r="W32" s="47">
        <f t="shared" si="46"/>
        <v>13.149999999999999</v>
      </c>
      <c r="X32" s="47">
        <f t="shared" si="46"/>
        <v>13.4</v>
      </c>
      <c r="Y32" s="47">
        <f t="shared" si="46"/>
        <v>14.15</v>
      </c>
      <c r="Z32" s="47">
        <f t="shared" si="46"/>
        <v>14.899999999999999</v>
      </c>
      <c r="AA32" s="47">
        <f t="shared" si="46"/>
        <v>15.65</v>
      </c>
      <c r="AB32" s="47">
        <f t="shared" si="46"/>
        <v>16.399999999999999</v>
      </c>
      <c r="AC32" s="47">
        <f t="shared" si="46"/>
        <v>16.649999999999999</v>
      </c>
      <c r="AD32" s="47">
        <f t="shared" si="46"/>
        <v>17.400000000000002</v>
      </c>
      <c r="AE32" s="47">
        <f t="shared" si="46"/>
        <v>18.149999999999999</v>
      </c>
      <c r="AF32" s="47">
        <f t="shared" si="46"/>
        <v>19.399999999999999</v>
      </c>
      <c r="AG32" s="47">
        <f t="shared" si="46"/>
        <v>20.65</v>
      </c>
      <c r="AH32" s="47">
        <f t="shared" si="46"/>
        <v>21.9</v>
      </c>
      <c r="AI32" s="47">
        <f t="shared" si="46"/>
        <v>23.15</v>
      </c>
      <c r="AJ32" s="47">
        <f t="shared" si="46"/>
        <v>23.900000000000002</v>
      </c>
      <c r="AK32" s="47">
        <f t="shared" ref="AK32:BP32" si="47">AK26+AK29+AK30+AK31</f>
        <v>24.65</v>
      </c>
      <c r="AL32" s="47">
        <f t="shared" si="47"/>
        <v>24.9</v>
      </c>
      <c r="AM32" s="47">
        <f t="shared" si="47"/>
        <v>25.15</v>
      </c>
      <c r="AN32" s="47">
        <f t="shared" si="47"/>
        <v>25.400000000000002</v>
      </c>
      <c r="AO32" s="47">
        <f t="shared" si="47"/>
        <v>25.650000000000002</v>
      </c>
      <c r="AP32" s="47">
        <f t="shared" si="47"/>
        <v>26.4</v>
      </c>
      <c r="AQ32" s="47">
        <f t="shared" si="47"/>
        <v>27.65</v>
      </c>
      <c r="AR32" s="47">
        <f t="shared" si="47"/>
        <v>28.9</v>
      </c>
      <c r="AS32" s="47">
        <f t="shared" si="47"/>
        <v>30.650000000000002</v>
      </c>
      <c r="AT32" s="47">
        <f t="shared" si="47"/>
        <v>31.900000000000002</v>
      </c>
      <c r="AU32" s="47">
        <f t="shared" si="47"/>
        <v>32.65</v>
      </c>
      <c r="AV32" s="47">
        <f t="shared" si="47"/>
        <v>33.4</v>
      </c>
      <c r="AW32" s="47">
        <f t="shared" si="47"/>
        <v>33.65</v>
      </c>
      <c r="AX32" s="47">
        <f t="shared" si="47"/>
        <v>33.9</v>
      </c>
      <c r="AY32" s="47">
        <f t="shared" si="47"/>
        <v>34.150000000000006</v>
      </c>
      <c r="AZ32" s="47">
        <f t="shared" si="47"/>
        <v>34.4</v>
      </c>
      <c r="BA32" s="47">
        <f t="shared" si="47"/>
        <v>34.65</v>
      </c>
      <c r="BB32" s="47">
        <f t="shared" si="47"/>
        <v>35.4</v>
      </c>
      <c r="BC32" s="47">
        <f t="shared" si="47"/>
        <v>36.150000000000006</v>
      </c>
      <c r="BD32" s="47">
        <f t="shared" si="47"/>
        <v>37.400000000000006</v>
      </c>
      <c r="BE32" s="47">
        <f t="shared" si="47"/>
        <v>38.65</v>
      </c>
      <c r="BF32" s="47">
        <f t="shared" si="47"/>
        <v>39.9</v>
      </c>
      <c r="BG32" s="47">
        <f t="shared" si="47"/>
        <v>41.15</v>
      </c>
      <c r="BH32" s="47">
        <f t="shared" si="47"/>
        <v>41.9</v>
      </c>
      <c r="BI32" s="47">
        <f t="shared" si="47"/>
        <v>42.650000000000006</v>
      </c>
      <c r="BJ32" s="47">
        <f t="shared" si="47"/>
        <v>42.9</v>
      </c>
      <c r="BK32" s="47">
        <f t="shared" si="47"/>
        <v>43.150000000000006</v>
      </c>
      <c r="BL32" s="47">
        <f t="shared" si="47"/>
        <v>43.4</v>
      </c>
    </row>
    <row r="33" spans="1:64" x14ac:dyDescent="0.25">
      <c r="A33" s="8" t="s">
        <v>467</v>
      </c>
      <c r="B33" s="10" t="s">
        <v>136</v>
      </c>
      <c r="E33" s="47">
        <f t="shared" ref="E33:AJ33" si="48">E27</f>
        <v>0</v>
      </c>
      <c r="F33" s="47">
        <f t="shared" si="48"/>
        <v>0</v>
      </c>
      <c r="G33" s="47">
        <f t="shared" si="48"/>
        <v>0</v>
      </c>
      <c r="H33" s="47">
        <f t="shared" si="48"/>
        <v>0</v>
      </c>
      <c r="I33" s="47">
        <f t="shared" si="48"/>
        <v>0</v>
      </c>
      <c r="J33" s="47">
        <f t="shared" si="48"/>
        <v>0</v>
      </c>
      <c r="K33" s="47">
        <f t="shared" si="48"/>
        <v>0</v>
      </c>
      <c r="L33" s="47">
        <f t="shared" si="48"/>
        <v>0</v>
      </c>
      <c r="M33" s="47">
        <f t="shared" si="48"/>
        <v>0</v>
      </c>
      <c r="N33" s="47">
        <f t="shared" si="48"/>
        <v>0</v>
      </c>
      <c r="O33" s="47">
        <f t="shared" si="48"/>
        <v>0</v>
      </c>
      <c r="P33" s="47">
        <f t="shared" si="48"/>
        <v>0</v>
      </c>
      <c r="Q33" s="47">
        <f t="shared" si="48"/>
        <v>0</v>
      </c>
      <c r="R33" s="47">
        <f t="shared" si="48"/>
        <v>0</v>
      </c>
      <c r="S33" s="47">
        <f t="shared" si="48"/>
        <v>0</v>
      </c>
      <c r="T33" s="47">
        <f t="shared" si="48"/>
        <v>0</v>
      </c>
      <c r="U33" s="47">
        <f t="shared" si="48"/>
        <v>0</v>
      </c>
      <c r="V33" s="47">
        <f t="shared" si="48"/>
        <v>0</v>
      </c>
      <c r="W33" s="47">
        <f t="shared" si="48"/>
        <v>0</v>
      </c>
      <c r="X33" s="47">
        <f t="shared" si="48"/>
        <v>0</v>
      </c>
      <c r="Y33" s="47">
        <f t="shared" si="48"/>
        <v>0</v>
      </c>
      <c r="Z33" s="47">
        <f t="shared" si="48"/>
        <v>0</v>
      </c>
      <c r="AA33" s="47">
        <f t="shared" si="48"/>
        <v>0</v>
      </c>
      <c r="AB33" s="47">
        <f t="shared" si="48"/>
        <v>0</v>
      </c>
      <c r="AC33" s="47">
        <f t="shared" si="48"/>
        <v>0.5</v>
      </c>
      <c r="AD33" s="47">
        <f t="shared" si="48"/>
        <v>1</v>
      </c>
      <c r="AE33" s="47">
        <f t="shared" si="48"/>
        <v>1.5</v>
      </c>
      <c r="AF33" s="47">
        <f t="shared" si="48"/>
        <v>2</v>
      </c>
      <c r="AG33" s="47">
        <f t="shared" si="48"/>
        <v>2</v>
      </c>
      <c r="AH33" s="47">
        <f t="shared" si="48"/>
        <v>2</v>
      </c>
      <c r="AI33" s="47">
        <f t="shared" si="48"/>
        <v>2</v>
      </c>
      <c r="AJ33" s="47">
        <f t="shared" si="48"/>
        <v>2.5</v>
      </c>
      <c r="AK33" s="47">
        <f t="shared" ref="AK33:BL33" si="49">AK27</f>
        <v>3</v>
      </c>
      <c r="AL33" s="47">
        <f t="shared" si="49"/>
        <v>4</v>
      </c>
      <c r="AM33" s="47">
        <f t="shared" si="49"/>
        <v>5</v>
      </c>
      <c r="AN33" s="47">
        <f t="shared" si="49"/>
        <v>5.5</v>
      </c>
      <c r="AO33" s="47">
        <f t="shared" si="49"/>
        <v>6</v>
      </c>
      <c r="AP33" s="47">
        <f t="shared" si="49"/>
        <v>6</v>
      </c>
      <c r="AQ33" s="47">
        <f t="shared" si="49"/>
        <v>6</v>
      </c>
      <c r="AR33" s="47">
        <f t="shared" si="49"/>
        <v>6</v>
      </c>
      <c r="AS33" s="47">
        <f t="shared" si="49"/>
        <v>6</v>
      </c>
      <c r="AT33" s="47">
        <f t="shared" si="49"/>
        <v>6.5</v>
      </c>
      <c r="AU33" s="47">
        <f t="shared" si="49"/>
        <v>7</v>
      </c>
      <c r="AV33" s="47">
        <f t="shared" si="49"/>
        <v>7.5</v>
      </c>
      <c r="AW33" s="47">
        <f t="shared" si="49"/>
        <v>8</v>
      </c>
      <c r="AX33" s="47">
        <f t="shared" si="49"/>
        <v>8</v>
      </c>
      <c r="AY33" s="47">
        <f t="shared" si="49"/>
        <v>8</v>
      </c>
      <c r="AZ33" s="47">
        <f t="shared" si="49"/>
        <v>8</v>
      </c>
      <c r="BA33" s="47">
        <f t="shared" si="49"/>
        <v>8</v>
      </c>
      <c r="BB33" s="47">
        <f t="shared" si="49"/>
        <v>8</v>
      </c>
      <c r="BC33" s="47">
        <f t="shared" si="49"/>
        <v>8</v>
      </c>
      <c r="BD33" s="47">
        <f t="shared" si="49"/>
        <v>8</v>
      </c>
      <c r="BE33" s="47">
        <f t="shared" si="49"/>
        <v>8</v>
      </c>
      <c r="BF33" s="47">
        <f t="shared" si="49"/>
        <v>8</v>
      </c>
      <c r="BG33" s="47">
        <f t="shared" si="49"/>
        <v>8</v>
      </c>
      <c r="BH33" s="47">
        <f t="shared" si="49"/>
        <v>8.5</v>
      </c>
      <c r="BI33" s="47">
        <f t="shared" si="49"/>
        <v>9</v>
      </c>
      <c r="BJ33" s="47">
        <f t="shared" si="49"/>
        <v>9.5</v>
      </c>
      <c r="BK33" s="47">
        <f t="shared" si="49"/>
        <v>10</v>
      </c>
      <c r="BL33" s="47">
        <f t="shared" si="49"/>
        <v>10</v>
      </c>
    </row>
    <row r="34" spans="1:64" x14ac:dyDescent="0.25">
      <c r="A34" s="8" t="s">
        <v>468</v>
      </c>
      <c r="B34" s="10" t="s">
        <v>136</v>
      </c>
      <c r="E34" s="47">
        <f t="shared" ref="E34:AJ34" si="50">E28</f>
        <v>0</v>
      </c>
      <c r="F34" s="47">
        <f t="shared" si="50"/>
        <v>0</v>
      </c>
      <c r="G34" s="47">
        <f t="shared" si="50"/>
        <v>0</v>
      </c>
      <c r="H34" s="47">
        <f t="shared" si="50"/>
        <v>0</v>
      </c>
      <c r="I34" s="47">
        <f t="shared" si="50"/>
        <v>0</v>
      </c>
      <c r="J34" s="47">
        <f t="shared" si="50"/>
        <v>0</v>
      </c>
      <c r="K34" s="47">
        <f t="shared" si="50"/>
        <v>0</v>
      </c>
      <c r="L34" s="47">
        <f t="shared" si="50"/>
        <v>0</v>
      </c>
      <c r="M34" s="47">
        <f t="shared" si="50"/>
        <v>0</v>
      </c>
      <c r="N34" s="47">
        <f t="shared" si="50"/>
        <v>0</v>
      </c>
      <c r="O34" s="47">
        <f t="shared" si="50"/>
        <v>0</v>
      </c>
      <c r="P34" s="47">
        <f t="shared" si="50"/>
        <v>0</v>
      </c>
      <c r="Q34" s="47">
        <f t="shared" si="50"/>
        <v>0</v>
      </c>
      <c r="R34" s="47">
        <f t="shared" si="50"/>
        <v>0</v>
      </c>
      <c r="S34" s="47">
        <f t="shared" si="50"/>
        <v>0</v>
      </c>
      <c r="T34" s="47">
        <f t="shared" si="50"/>
        <v>0</v>
      </c>
      <c r="U34" s="47">
        <f t="shared" si="50"/>
        <v>0</v>
      </c>
      <c r="V34" s="47">
        <f t="shared" si="50"/>
        <v>0</v>
      </c>
      <c r="W34" s="47">
        <f t="shared" si="50"/>
        <v>0</v>
      </c>
      <c r="X34" s="47">
        <f t="shared" si="50"/>
        <v>0</v>
      </c>
      <c r="Y34" s="47">
        <f t="shared" si="50"/>
        <v>0</v>
      </c>
      <c r="Z34" s="47">
        <f t="shared" si="50"/>
        <v>0</v>
      </c>
      <c r="AA34" s="47">
        <f t="shared" si="50"/>
        <v>0</v>
      </c>
      <c r="AB34" s="47">
        <f t="shared" si="50"/>
        <v>0</v>
      </c>
      <c r="AC34" s="47">
        <f t="shared" si="50"/>
        <v>0</v>
      </c>
      <c r="AD34" s="47">
        <f t="shared" si="50"/>
        <v>0</v>
      </c>
      <c r="AE34" s="47">
        <f t="shared" si="50"/>
        <v>0</v>
      </c>
      <c r="AF34" s="47">
        <f t="shared" si="50"/>
        <v>0</v>
      </c>
      <c r="AG34" s="47">
        <f t="shared" si="50"/>
        <v>0</v>
      </c>
      <c r="AH34" s="47">
        <f t="shared" si="50"/>
        <v>0</v>
      </c>
      <c r="AI34" s="47">
        <f t="shared" si="50"/>
        <v>0</v>
      </c>
      <c r="AJ34" s="47">
        <f t="shared" si="50"/>
        <v>0</v>
      </c>
      <c r="AK34" s="47">
        <f t="shared" ref="AK34:BL34" si="51">AK28</f>
        <v>0</v>
      </c>
      <c r="AL34" s="47">
        <f t="shared" si="51"/>
        <v>0</v>
      </c>
      <c r="AM34" s="47">
        <f t="shared" si="51"/>
        <v>0</v>
      </c>
      <c r="AN34" s="47">
        <f t="shared" si="51"/>
        <v>0</v>
      </c>
      <c r="AO34" s="47">
        <f t="shared" si="51"/>
        <v>0</v>
      </c>
      <c r="AP34" s="47">
        <f t="shared" si="51"/>
        <v>0</v>
      </c>
      <c r="AQ34" s="47">
        <f t="shared" si="51"/>
        <v>0</v>
      </c>
      <c r="AR34" s="47">
        <f t="shared" si="51"/>
        <v>0</v>
      </c>
      <c r="AS34" s="47">
        <f t="shared" si="51"/>
        <v>0</v>
      </c>
      <c r="AT34" s="47">
        <f t="shared" si="51"/>
        <v>0</v>
      </c>
      <c r="AU34" s="47">
        <f t="shared" si="51"/>
        <v>0</v>
      </c>
      <c r="AV34" s="47">
        <f t="shared" si="51"/>
        <v>0.5</v>
      </c>
      <c r="AW34" s="47">
        <f t="shared" si="51"/>
        <v>1.5</v>
      </c>
      <c r="AX34" s="47">
        <f t="shared" si="51"/>
        <v>2.5</v>
      </c>
      <c r="AY34" s="47">
        <f t="shared" si="51"/>
        <v>3.5</v>
      </c>
      <c r="AZ34" s="47">
        <f t="shared" si="51"/>
        <v>4</v>
      </c>
      <c r="BA34" s="47">
        <f t="shared" si="51"/>
        <v>4</v>
      </c>
      <c r="BB34" s="47">
        <f t="shared" si="51"/>
        <v>4</v>
      </c>
      <c r="BC34" s="47">
        <f t="shared" si="51"/>
        <v>4</v>
      </c>
      <c r="BD34" s="47">
        <f t="shared" si="51"/>
        <v>4</v>
      </c>
      <c r="BE34" s="47">
        <f t="shared" si="51"/>
        <v>4</v>
      </c>
      <c r="BF34" s="47">
        <f t="shared" si="51"/>
        <v>4</v>
      </c>
      <c r="BG34" s="47">
        <f t="shared" si="51"/>
        <v>4</v>
      </c>
      <c r="BH34" s="47">
        <f t="shared" si="51"/>
        <v>4</v>
      </c>
      <c r="BI34" s="47">
        <f t="shared" si="51"/>
        <v>4</v>
      </c>
      <c r="BJ34" s="47">
        <f t="shared" si="51"/>
        <v>4.5</v>
      </c>
      <c r="BK34" s="47">
        <f t="shared" si="51"/>
        <v>5</v>
      </c>
      <c r="BL34" s="47">
        <f t="shared" si="51"/>
        <v>5.5</v>
      </c>
    </row>
    <row r="35" spans="1:64" x14ac:dyDescent="0.25">
      <c r="A35" s="44" t="s">
        <v>469</v>
      </c>
      <c r="B35" s="10" t="s">
        <v>136</v>
      </c>
      <c r="E35" s="48">
        <f t="shared" ref="E35:AJ35" si="52">SUM(E32:E34)</f>
        <v>4.05</v>
      </c>
      <c r="F35" s="48">
        <f t="shared" si="52"/>
        <v>4.0999999999999996</v>
      </c>
      <c r="G35" s="48">
        <f t="shared" si="52"/>
        <v>4.1500000000000004</v>
      </c>
      <c r="H35" s="48">
        <f t="shared" si="52"/>
        <v>4.45</v>
      </c>
      <c r="I35" s="48">
        <f t="shared" si="52"/>
        <v>4.75</v>
      </c>
      <c r="J35" s="48">
        <f t="shared" si="52"/>
        <v>5.55</v>
      </c>
      <c r="K35" s="48">
        <f t="shared" si="52"/>
        <v>5.35</v>
      </c>
      <c r="L35" s="48">
        <f t="shared" si="52"/>
        <v>5.9</v>
      </c>
      <c r="M35" s="48">
        <f t="shared" si="52"/>
        <v>6.95</v>
      </c>
      <c r="N35" s="48">
        <f t="shared" si="52"/>
        <v>7.5</v>
      </c>
      <c r="O35" s="48">
        <f t="shared" si="52"/>
        <v>8.0500000000000007</v>
      </c>
      <c r="P35" s="48">
        <f t="shared" si="52"/>
        <v>8.6</v>
      </c>
      <c r="Q35" s="48">
        <f t="shared" si="52"/>
        <v>9.15</v>
      </c>
      <c r="R35" s="48">
        <f t="shared" si="52"/>
        <v>9.8999999999999986</v>
      </c>
      <c r="S35" s="48">
        <f t="shared" si="52"/>
        <v>11.15</v>
      </c>
      <c r="T35" s="48">
        <f t="shared" si="52"/>
        <v>12.4</v>
      </c>
      <c r="U35" s="48">
        <f t="shared" si="52"/>
        <v>13.15</v>
      </c>
      <c r="V35" s="48">
        <f t="shared" si="52"/>
        <v>13.9</v>
      </c>
      <c r="W35" s="48">
        <f t="shared" si="52"/>
        <v>13.149999999999999</v>
      </c>
      <c r="X35" s="48">
        <f t="shared" si="52"/>
        <v>13.4</v>
      </c>
      <c r="Y35" s="48">
        <f t="shared" si="52"/>
        <v>14.15</v>
      </c>
      <c r="Z35" s="48">
        <f t="shared" si="52"/>
        <v>14.899999999999999</v>
      </c>
      <c r="AA35" s="48">
        <f t="shared" si="52"/>
        <v>15.65</v>
      </c>
      <c r="AB35" s="48">
        <f t="shared" si="52"/>
        <v>16.399999999999999</v>
      </c>
      <c r="AC35" s="48">
        <f t="shared" si="52"/>
        <v>17.149999999999999</v>
      </c>
      <c r="AD35" s="48">
        <f t="shared" si="52"/>
        <v>18.400000000000002</v>
      </c>
      <c r="AE35" s="48">
        <f t="shared" si="52"/>
        <v>19.649999999999999</v>
      </c>
      <c r="AF35" s="48">
        <f t="shared" si="52"/>
        <v>21.4</v>
      </c>
      <c r="AG35" s="48">
        <f t="shared" si="52"/>
        <v>22.65</v>
      </c>
      <c r="AH35" s="48">
        <f t="shared" si="52"/>
        <v>23.9</v>
      </c>
      <c r="AI35" s="48">
        <f t="shared" si="52"/>
        <v>25.15</v>
      </c>
      <c r="AJ35" s="48">
        <f t="shared" si="52"/>
        <v>26.400000000000002</v>
      </c>
      <c r="AK35" s="48">
        <f t="shared" ref="AK35:BP35" si="53">SUM(AK32:AK34)</f>
        <v>27.65</v>
      </c>
      <c r="AL35" s="48">
        <f t="shared" si="53"/>
        <v>28.9</v>
      </c>
      <c r="AM35" s="48">
        <f t="shared" si="53"/>
        <v>30.15</v>
      </c>
      <c r="AN35" s="48">
        <f t="shared" si="53"/>
        <v>30.900000000000002</v>
      </c>
      <c r="AO35" s="48">
        <f t="shared" si="53"/>
        <v>31.650000000000002</v>
      </c>
      <c r="AP35" s="48">
        <f t="shared" si="53"/>
        <v>32.4</v>
      </c>
      <c r="AQ35" s="48">
        <f t="shared" si="53"/>
        <v>33.65</v>
      </c>
      <c r="AR35" s="48">
        <f t="shared" si="53"/>
        <v>34.9</v>
      </c>
      <c r="AS35" s="48">
        <f t="shared" si="53"/>
        <v>36.650000000000006</v>
      </c>
      <c r="AT35" s="48">
        <f t="shared" si="53"/>
        <v>38.400000000000006</v>
      </c>
      <c r="AU35" s="48">
        <f t="shared" si="53"/>
        <v>39.65</v>
      </c>
      <c r="AV35" s="48">
        <f t="shared" si="53"/>
        <v>41.4</v>
      </c>
      <c r="AW35" s="48">
        <f t="shared" si="53"/>
        <v>43.15</v>
      </c>
      <c r="AX35" s="48">
        <f t="shared" si="53"/>
        <v>44.4</v>
      </c>
      <c r="AY35" s="48">
        <f t="shared" si="53"/>
        <v>45.650000000000006</v>
      </c>
      <c r="AZ35" s="48">
        <f t="shared" si="53"/>
        <v>46.4</v>
      </c>
      <c r="BA35" s="48">
        <f t="shared" si="53"/>
        <v>46.65</v>
      </c>
      <c r="BB35" s="48">
        <f t="shared" si="53"/>
        <v>47.4</v>
      </c>
      <c r="BC35" s="48">
        <f t="shared" si="53"/>
        <v>48.150000000000006</v>
      </c>
      <c r="BD35" s="48">
        <f t="shared" si="53"/>
        <v>49.400000000000006</v>
      </c>
      <c r="BE35" s="48">
        <f t="shared" si="53"/>
        <v>50.65</v>
      </c>
      <c r="BF35" s="48">
        <f t="shared" si="53"/>
        <v>51.9</v>
      </c>
      <c r="BG35" s="48">
        <f t="shared" si="53"/>
        <v>53.15</v>
      </c>
      <c r="BH35" s="48">
        <f t="shared" si="53"/>
        <v>54.4</v>
      </c>
      <c r="BI35" s="48">
        <f t="shared" si="53"/>
        <v>55.650000000000006</v>
      </c>
      <c r="BJ35" s="48">
        <f t="shared" si="53"/>
        <v>56.9</v>
      </c>
      <c r="BK35" s="48">
        <f t="shared" si="53"/>
        <v>58.150000000000006</v>
      </c>
      <c r="BL35" s="48">
        <f t="shared" si="53"/>
        <v>58.9</v>
      </c>
    </row>
    <row r="36" spans="1:64" x14ac:dyDescent="0.25">
      <c r="A36" s="19" t="s">
        <v>470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</row>
    <row r="37" spans="1:64" x14ac:dyDescent="0.25">
      <c r="A37" s="8" t="s">
        <v>471</v>
      </c>
      <c r="B37" s="10" t="s">
        <v>136</v>
      </c>
      <c r="D37" s="47">
        <f>ag_open_book</f>
        <v>11</v>
      </c>
      <c r="E37" s="47">
        <f t="shared" ref="E37:AJ37" si="54">D37*(1-churn)+E32</f>
        <v>14.940000000000001</v>
      </c>
      <c r="F37" s="47">
        <f t="shared" si="54"/>
        <v>18.890599999999999</v>
      </c>
      <c r="G37" s="47">
        <f t="shared" si="54"/>
        <v>22.851694000000002</v>
      </c>
      <c r="H37" s="47">
        <f t="shared" si="54"/>
        <v>27.073177060000003</v>
      </c>
      <c r="I37" s="47">
        <f t="shared" si="54"/>
        <v>31.552445289400001</v>
      </c>
      <c r="J37" s="47">
        <f t="shared" si="54"/>
        <v>36.786920836505999</v>
      </c>
      <c r="K37" s="47">
        <f t="shared" si="54"/>
        <v>41.769051628140943</v>
      </c>
      <c r="L37" s="47">
        <f t="shared" si="54"/>
        <v>47.251361111859531</v>
      </c>
      <c r="M37" s="47">
        <f t="shared" si="54"/>
        <v>53.72884750074094</v>
      </c>
      <c r="N37" s="47">
        <f t="shared" si="54"/>
        <v>60.691559025733532</v>
      </c>
      <c r="O37" s="47">
        <f t="shared" si="54"/>
        <v>68.134643435476193</v>
      </c>
      <c r="P37" s="47">
        <f t="shared" si="54"/>
        <v>76.053297001121422</v>
      </c>
      <c r="Q37" s="47">
        <f t="shared" si="54"/>
        <v>84.442764031110215</v>
      </c>
      <c r="R37" s="47">
        <f t="shared" si="54"/>
        <v>93.498336390799125</v>
      </c>
      <c r="S37" s="47">
        <f t="shared" si="54"/>
        <v>103.71335302689114</v>
      </c>
      <c r="T37" s="47">
        <f t="shared" si="54"/>
        <v>115.07621949662223</v>
      </c>
      <c r="U37" s="47">
        <f t="shared" si="54"/>
        <v>127.07545730165602</v>
      </c>
      <c r="V37" s="47">
        <f t="shared" si="54"/>
        <v>139.70470272863946</v>
      </c>
      <c r="W37" s="47">
        <f t="shared" si="54"/>
        <v>151.45765570135308</v>
      </c>
      <c r="X37" s="47">
        <f t="shared" si="54"/>
        <v>163.34307914433955</v>
      </c>
      <c r="Y37" s="47">
        <f t="shared" si="54"/>
        <v>175.85964835289616</v>
      </c>
      <c r="Z37" s="47">
        <f t="shared" si="54"/>
        <v>189.00105186936719</v>
      </c>
      <c r="AA37" s="47">
        <f t="shared" si="54"/>
        <v>202.76104135067351</v>
      </c>
      <c r="AB37" s="47">
        <f t="shared" si="54"/>
        <v>217.13343093716676</v>
      </c>
      <c r="AC37" s="47">
        <f t="shared" si="54"/>
        <v>231.6120966277951</v>
      </c>
      <c r="AD37" s="47">
        <f t="shared" si="54"/>
        <v>246.69597566151714</v>
      </c>
      <c r="AE37" s="47">
        <f t="shared" si="54"/>
        <v>262.37901590490196</v>
      </c>
      <c r="AF37" s="47">
        <f t="shared" si="54"/>
        <v>279.15522574585293</v>
      </c>
      <c r="AG37" s="47">
        <f t="shared" si="54"/>
        <v>297.01367348839437</v>
      </c>
      <c r="AH37" s="47">
        <f t="shared" si="54"/>
        <v>315.94353675351039</v>
      </c>
      <c r="AI37" s="47">
        <f t="shared" si="54"/>
        <v>335.93410138597528</v>
      </c>
      <c r="AJ37" s="47">
        <f t="shared" si="54"/>
        <v>356.4747603721155</v>
      </c>
      <c r="AK37" s="47">
        <f t="shared" ref="AK37:BL37" si="55">AJ37*(1-churn)+AK32</f>
        <v>377.5600127683943</v>
      </c>
      <c r="AL37" s="47">
        <f t="shared" si="55"/>
        <v>398.68441264071032</v>
      </c>
      <c r="AM37" s="47">
        <f t="shared" si="55"/>
        <v>419.84756851430319</v>
      </c>
      <c r="AN37" s="47">
        <f t="shared" si="55"/>
        <v>441.04909282916014</v>
      </c>
      <c r="AO37" s="47">
        <f t="shared" si="55"/>
        <v>462.28860190086851</v>
      </c>
      <c r="AP37" s="47">
        <f t="shared" si="55"/>
        <v>484.06571588185977</v>
      </c>
      <c r="AQ37" s="47">
        <f t="shared" si="55"/>
        <v>506.87505872304115</v>
      </c>
      <c r="AR37" s="47">
        <f t="shared" si="55"/>
        <v>530.70630813581079</v>
      </c>
      <c r="AS37" s="47">
        <f t="shared" si="55"/>
        <v>556.04924505445263</v>
      </c>
      <c r="AT37" s="47">
        <f t="shared" si="55"/>
        <v>582.38875260390807</v>
      </c>
      <c r="AU37" s="47">
        <f t="shared" si="55"/>
        <v>609.21486507786892</v>
      </c>
      <c r="AV37" s="47">
        <f t="shared" si="55"/>
        <v>636.52271642709024</v>
      </c>
      <c r="AW37" s="47">
        <f t="shared" si="55"/>
        <v>663.80748926281933</v>
      </c>
      <c r="AX37" s="47">
        <f t="shared" si="55"/>
        <v>691.06941437019111</v>
      </c>
      <c r="AY37" s="47">
        <f t="shared" si="55"/>
        <v>718.30872022648919</v>
      </c>
      <c r="AZ37" s="47">
        <f t="shared" si="55"/>
        <v>745.52563302422425</v>
      </c>
      <c r="BA37" s="47">
        <f t="shared" si="55"/>
        <v>772.72037669398196</v>
      </c>
      <c r="BB37" s="47">
        <f t="shared" si="55"/>
        <v>800.39317292704209</v>
      </c>
      <c r="BC37" s="47">
        <f t="shared" si="55"/>
        <v>828.53924119777162</v>
      </c>
      <c r="BD37" s="47">
        <f t="shared" si="55"/>
        <v>857.65384878579391</v>
      </c>
      <c r="BE37" s="47">
        <f t="shared" si="55"/>
        <v>887.7273102979359</v>
      </c>
      <c r="BF37" s="47">
        <f t="shared" si="55"/>
        <v>918.75003719495646</v>
      </c>
      <c r="BG37" s="47">
        <f t="shared" si="55"/>
        <v>950.71253682300687</v>
      </c>
      <c r="BH37" s="47">
        <f t="shared" si="55"/>
        <v>983.1054114547768</v>
      </c>
      <c r="BI37" s="47">
        <f t="shared" si="55"/>
        <v>1015.924357340229</v>
      </c>
      <c r="BJ37" s="47">
        <f t="shared" si="55"/>
        <v>1048.6651137668268</v>
      </c>
      <c r="BK37" s="47">
        <f t="shared" si="55"/>
        <v>1081.3284626291586</v>
      </c>
      <c r="BL37" s="47">
        <f t="shared" si="55"/>
        <v>1113.9151780028672</v>
      </c>
    </row>
    <row r="38" spans="1:64" x14ac:dyDescent="0.25">
      <c r="A38" s="8" t="s">
        <v>472</v>
      </c>
      <c r="B38" s="10" t="s">
        <v>136</v>
      </c>
      <c r="D38" s="47">
        <v>0</v>
      </c>
      <c r="E38" s="47">
        <f t="shared" ref="E38:AJ38" si="56">D38*(1-churn)+E33</f>
        <v>0</v>
      </c>
      <c r="F38" s="47">
        <f t="shared" si="56"/>
        <v>0</v>
      </c>
      <c r="G38" s="47">
        <f t="shared" si="56"/>
        <v>0</v>
      </c>
      <c r="H38" s="47">
        <f t="shared" si="56"/>
        <v>0</v>
      </c>
      <c r="I38" s="47">
        <f t="shared" si="56"/>
        <v>0</v>
      </c>
      <c r="J38" s="47">
        <f t="shared" si="56"/>
        <v>0</v>
      </c>
      <c r="K38" s="47">
        <f t="shared" si="56"/>
        <v>0</v>
      </c>
      <c r="L38" s="47">
        <f t="shared" si="56"/>
        <v>0</v>
      </c>
      <c r="M38" s="47">
        <f t="shared" si="56"/>
        <v>0</v>
      </c>
      <c r="N38" s="47">
        <f t="shared" si="56"/>
        <v>0</v>
      </c>
      <c r="O38" s="47">
        <f t="shared" si="56"/>
        <v>0</v>
      </c>
      <c r="P38" s="47">
        <f t="shared" si="56"/>
        <v>0</v>
      </c>
      <c r="Q38" s="47">
        <f t="shared" si="56"/>
        <v>0</v>
      </c>
      <c r="R38" s="47">
        <f t="shared" si="56"/>
        <v>0</v>
      </c>
      <c r="S38" s="47">
        <f t="shared" si="56"/>
        <v>0</v>
      </c>
      <c r="T38" s="47">
        <f t="shared" si="56"/>
        <v>0</v>
      </c>
      <c r="U38" s="47">
        <f t="shared" si="56"/>
        <v>0</v>
      </c>
      <c r="V38" s="47">
        <f t="shared" si="56"/>
        <v>0</v>
      </c>
      <c r="W38" s="47">
        <f t="shared" si="56"/>
        <v>0</v>
      </c>
      <c r="X38" s="47">
        <f t="shared" si="56"/>
        <v>0</v>
      </c>
      <c r="Y38" s="47">
        <f t="shared" si="56"/>
        <v>0</v>
      </c>
      <c r="Z38" s="47">
        <f t="shared" si="56"/>
        <v>0</v>
      </c>
      <c r="AA38" s="47">
        <f t="shared" si="56"/>
        <v>0</v>
      </c>
      <c r="AB38" s="47">
        <f t="shared" si="56"/>
        <v>0</v>
      </c>
      <c r="AC38" s="47">
        <f t="shared" si="56"/>
        <v>0.5</v>
      </c>
      <c r="AD38" s="47">
        <f t="shared" si="56"/>
        <v>1.4950000000000001</v>
      </c>
      <c r="AE38" s="47">
        <f t="shared" si="56"/>
        <v>2.9800500000000003</v>
      </c>
      <c r="AF38" s="47">
        <f t="shared" si="56"/>
        <v>4.9502495</v>
      </c>
      <c r="AG38" s="47">
        <f t="shared" si="56"/>
        <v>6.9007470049999995</v>
      </c>
      <c r="AH38" s="47">
        <f t="shared" si="56"/>
        <v>8.8317395349499996</v>
      </c>
      <c r="AI38" s="47">
        <f t="shared" si="56"/>
        <v>10.743422139600499</v>
      </c>
      <c r="AJ38" s="47">
        <f t="shared" si="56"/>
        <v>13.135987918204494</v>
      </c>
      <c r="AK38" s="47">
        <f t="shared" ref="AK38:BL38" si="57">AJ38*(1-churn)+AK33</f>
        <v>16.00462803902245</v>
      </c>
      <c r="AL38" s="47">
        <f t="shared" si="57"/>
        <v>19.844581758632224</v>
      </c>
      <c r="AM38" s="47">
        <f t="shared" si="57"/>
        <v>24.646135941045902</v>
      </c>
      <c r="AN38" s="47">
        <f t="shared" si="57"/>
        <v>29.899674581635441</v>
      </c>
      <c r="AO38" s="47">
        <f t="shared" si="57"/>
        <v>35.600677835819084</v>
      </c>
      <c r="AP38" s="47">
        <f t="shared" si="57"/>
        <v>41.244671057460891</v>
      </c>
      <c r="AQ38" s="47">
        <f t="shared" si="57"/>
        <v>46.832224346886285</v>
      </c>
      <c r="AR38" s="47">
        <f t="shared" si="57"/>
        <v>52.363902103417423</v>
      </c>
      <c r="AS38" s="47">
        <f t="shared" si="57"/>
        <v>57.840263082383245</v>
      </c>
      <c r="AT38" s="47">
        <f t="shared" si="57"/>
        <v>63.761860451559414</v>
      </c>
      <c r="AU38" s="47">
        <f t="shared" si="57"/>
        <v>70.12424184704382</v>
      </c>
      <c r="AV38" s="47">
        <f t="shared" si="57"/>
        <v>76.922999428573377</v>
      </c>
      <c r="AW38" s="47">
        <f t="shared" si="57"/>
        <v>84.153769434287639</v>
      </c>
      <c r="AX38" s="47">
        <f t="shared" si="57"/>
        <v>91.312231739944764</v>
      </c>
      <c r="AY38" s="47">
        <f t="shared" si="57"/>
        <v>98.399109422545322</v>
      </c>
      <c r="AZ38" s="47">
        <f t="shared" si="57"/>
        <v>105.41511832831986</v>
      </c>
      <c r="BA38" s="47">
        <f t="shared" si="57"/>
        <v>112.36096714503667</v>
      </c>
      <c r="BB38" s="47">
        <f t="shared" si="57"/>
        <v>119.2373574735863</v>
      </c>
      <c r="BC38" s="47">
        <f t="shared" si="57"/>
        <v>126.04498389885043</v>
      </c>
      <c r="BD38" s="47">
        <f t="shared" si="57"/>
        <v>132.78453405986193</v>
      </c>
      <c r="BE38" s="47">
        <f t="shared" si="57"/>
        <v>139.4566887192633</v>
      </c>
      <c r="BF38" s="47">
        <f t="shared" si="57"/>
        <v>146.06212183207066</v>
      </c>
      <c r="BG38" s="47">
        <f t="shared" si="57"/>
        <v>152.60150061374995</v>
      </c>
      <c r="BH38" s="47">
        <f t="shared" si="57"/>
        <v>159.57548560761245</v>
      </c>
      <c r="BI38" s="47">
        <f t="shared" si="57"/>
        <v>166.97973075153632</v>
      </c>
      <c r="BJ38" s="47">
        <f t="shared" si="57"/>
        <v>174.80993344402097</v>
      </c>
      <c r="BK38" s="47">
        <f t="shared" si="57"/>
        <v>183.06183410958076</v>
      </c>
      <c r="BL38" s="47">
        <f t="shared" si="57"/>
        <v>191.23121576848496</v>
      </c>
    </row>
    <row r="39" spans="1:64" x14ac:dyDescent="0.25">
      <c r="A39" s="8" t="s">
        <v>473</v>
      </c>
      <c r="B39" s="10" t="s">
        <v>136</v>
      </c>
      <c r="D39" s="47">
        <v>0</v>
      </c>
      <c r="E39" s="47">
        <f t="shared" ref="E39:AJ39" si="58">D39*(1-churn)+E34</f>
        <v>0</v>
      </c>
      <c r="F39" s="47">
        <f t="shared" si="58"/>
        <v>0</v>
      </c>
      <c r="G39" s="47">
        <f t="shared" si="58"/>
        <v>0</v>
      </c>
      <c r="H39" s="47">
        <f t="shared" si="58"/>
        <v>0</v>
      </c>
      <c r="I39" s="47">
        <f t="shared" si="58"/>
        <v>0</v>
      </c>
      <c r="J39" s="47">
        <f t="shared" si="58"/>
        <v>0</v>
      </c>
      <c r="K39" s="47">
        <f t="shared" si="58"/>
        <v>0</v>
      </c>
      <c r="L39" s="47">
        <f t="shared" si="58"/>
        <v>0</v>
      </c>
      <c r="M39" s="47">
        <f t="shared" si="58"/>
        <v>0</v>
      </c>
      <c r="N39" s="47">
        <f t="shared" si="58"/>
        <v>0</v>
      </c>
      <c r="O39" s="47">
        <f t="shared" si="58"/>
        <v>0</v>
      </c>
      <c r="P39" s="47">
        <f t="shared" si="58"/>
        <v>0</v>
      </c>
      <c r="Q39" s="47">
        <f t="shared" si="58"/>
        <v>0</v>
      </c>
      <c r="R39" s="47">
        <f t="shared" si="58"/>
        <v>0</v>
      </c>
      <c r="S39" s="47">
        <f t="shared" si="58"/>
        <v>0</v>
      </c>
      <c r="T39" s="47">
        <f t="shared" si="58"/>
        <v>0</v>
      </c>
      <c r="U39" s="47">
        <f t="shared" si="58"/>
        <v>0</v>
      </c>
      <c r="V39" s="47">
        <f t="shared" si="58"/>
        <v>0</v>
      </c>
      <c r="W39" s="47">
        <f t="shared" si="58"/>
        <v>0</v>
      </c>
      <c r="X39" s="47">
        <f t="shared" si="58"/>
        <v>0</v>
      </c>
      <c r="Y39" s="47">
        <f t="shared" si="58"/>
        <v>0</v>
      </c>
      <c r="Z39" s="47">
        <f t="shared" si="58"/>
        <v>0</v>
      </c>
      <c r="AA39" s="47">
        <f t="shared" si="58"/>
        <v>0</v>
      </c>
      <c r="AB39" s="47">
        <f t="shared" si="58"/>
        <v>0</v>
      </c>
      <c r="AC39" s="47">
        <f t="shared" si="58"/>
        <v>0</v>
      </c>
      <c r="AD39" s="47">
        <f t="shared" si="58"/>
        <v>0</v>
      </c>
      <c r="AE39" s="47">
        <f t="shared" si="58"/>
        <v>0</v>
      </c>
      <c r="AF39" s="47">
        <f t="shared" si="58"/>
        <v>0</v>
      </c>
      <c r="AG39" s="47">
        <f t="shared" si="58"/>
        <v>0</v>
      </c>
      <c r="AH39" s="47">
        <f t="shared" si="58"/>
        <v>0</v>
      </c>
      <c r="AI39" s="47">
        <f t="shared" si="58"/>
        <v>0</v>
      </c>
      <c r="AJ39" s="47">
        <f t="shared" si="58"/>
        <v>0</v>
      </c>
      <c r="AK39" s="47">
        <f t="shared" ref="AK39:BL39" si="59">AJ39*(1-churn)+AK34</f>
        <v>0</v>
      </c>
      <c r="AL39" s="47">
        <f t="shared" si="59"/>
        <v>0</v>
      </c>
      <c r="AM39" s="47">
        <f t="shared" si="59"/>
        <v>0</v>
      </c>
      <c r="AN39" s="47">
        <f t="shared" si="59"/>
        <v>0</v>
      </c>
      <c r="AO39" s="47">
        <f t="shared" si="59"/>
        <v>0</v>
      </c>
      <c r="AP39" s="47">
        <f t="shared" si="59"/>
        <v>0</v>
      </c>
      <c r="AQ39" s="47">
        <f t="shared" si="59"/>
        <v>0</v>
      </c>
      <c r="AR39" s="47">
        <f t="shared" si="59"/>
        <v>0</v>
      </c>
      <c r="AS39" s="47">
        <f t="shared" si="59"/>
        <v>0</v>
      </c>
      <c r="AT39" s="47">
        <f t="shared" si="59"/>
        <v>0</v>
      </c>
      <c r="AU39" s="47">
        <f t="shared" si="59"/>
        <v>0</v>
      </c>
      <c r="AV39" s="47">
        <f t="shared" si="59"/>
        <v>0.5</v>
      </c>
      <c r="AW39" s="47">
        <f t="shared" si="59"/>
        <v>1.9950000000000001</v>
      </c>
      <c r="AX39" s="47">
        <f t="shared" si="59"/>
        <v>4.4750500000000004</v>
      </c>
      <c r="AY39" s="47">
        <f t="shared" si="59"/>
        <v>7.9302995000000003</v>
      </c>
      <c r="AZ39" s="47">
        <f t="shared" si="59"/>
        <v>11.850996505000001</v>
      </c>
      <c r="BA39" s="47">
        <f t="shared" si="59"/>
        <v>15.732486539950001</v>
      </c>
      <c r="BB39" s="47">
        <f t="shared" si="59"/>
        <v>19.5751616745505</v>
      </c>
      <c r="BC39" s="47">
        <f t="shared" si="59"/>
        <v>23.379410057804996</v>
      </c>
      <c r="BD39" s="47">
        <f t="shared" si="59"/>
        <v>27.145615957226948</v>
      </c>
      <c r="BE39" s="47">
        <f t="shared" si="59"/>
        <v>30.874159797654677</v>
      </c>
      <c r="BF39" s="47">
        <f t="shared" si="59"/>
        <v>34.565418199678135</v>
      </c>
      <c r="BG39" s="47">
        <f t="shared" si="59"/>
        <v>38.219764017681356</v>
      </c>
      <c r="BH39" s="47">
        <f t="shared" si="59"/>
        <v>41.837566377504544</v>
      </c>
      <c r="BI39" s="47">
        <f t="shared" si="59"/>
        <v>45.419190713729499</v>
      </c>
      <c r="BJ39" s="47">
        <f t="shared" si="59"/>
        <v>49.464998806592206</v>
      </c>
      <c r="BK39" s="47">
        <f t="shared" si="59"/>
        <v>53.970348818526283</v>
      </c>
      <c r="BL39" s="47">
        <f t="shared" si="59"/>
        <v>58.930645330341022</v>
      </c>
    </row>
    <row r="40" spans="1:64" x14ac:dyDescent="0.25">
      <c r="A40" s="44" t="s">
        <v>474</v>
      </c>
      <c r="B40" s="10" t="s">
        <v>136</v>
      </c>
      <c r="C40" s="39" t="s">
        <v>475</v>
      </c>
      <c r="D40" s="49">
        <f t="shared" ref="D40:AI40" si="60">SUM(D37:D39)</f>
        <v>11</v>
      </c>
      <c r="E40" s="48">
        <f t="shared" si="60"/>
        <v>14.940000000000001</v>
      </c>
      <c r="F40" s="48">
        <f t="shared" si="60"/>
        <v>18.890599999999999</v>
      </c>
      <c r="G40" s="48">
        <f t="shared" si="60"/>
        <v>22.851694000000002</v>
      </c>
      <c r="H40" s="48">
        <f t="shared" si="60"/>
        <v>27.073177060000003</v>
      </c>
      <c r="I40" s="48">
        <f t="shared" si="60"/>
        <v>31.552445289400001</v>
      </c>
      <c r="J40" s="48">
        <f t="shared" si="60"/>
        <v>36.786920836505999</v>
      </c>
      <c r="K40" s="48">
        <f t="shared" si="60"/>
        <v>41.769051628140943</v>
      </c>
      <c r="L40" s="48">
        <f t="shared" si="60"/>
        <v>47.251361111859531</v>
      </c>
      <c r="M40" s="48">
        <f t="shared" si="60"/>
        <v>53.72884750074094</v>
      </c>
      <c r="N40" s="48">
        <f t="shared" si="60"/>
        <v>60.691559025733532</v>
      </c>
      <c r="O40" s="48">
        <f t="shared" si="60"/>
        <v>68.134643435476193</v>
      </c>
      <c r="P40" s="48">
        <f t="shared" si="60"/>
        <v>76.053297001121422</v>
      </c>
      <c r="Q40" s="48">
        <f t="shared" si="60"/>
        <v>84.442764031110215</v>
      </c>
      <c r="R40" s="48">
        <f t="shared" si="60"/>
        <v>93.498336390799125</v>
      </c>
      <c r="S40" s="48">
        <f t="shared" si="60"/>
        <v>103.71335302689114</v>
      </c>
      <c r="T40" s="48">
        <f t="shared" si="60"/>
        <v>115.07621949662223</v>
      </c>
      <c r="U40" s="48">
        <f t="shared" si="60"/>
        <v>127.07545730165602</v>
      </c>
      <c r="V40" s="48">
        <f t="shared" si="60"/>
        <v>139.70470272863946</v>
      </c>
      <c r="W40" s="48">
        <f t="shared" si="60"/>
        <v>151.45765570135308</v>
      </c>
      <c r="X40" s="48">
        <f t="shared" si="60"/>
        <v>163.34307914433955</v>
      </c>
      <c r="Y40" s="48">
        <f t="shared" si="60"/>
        <v>175.85964835289616</v>
      </c>
      <c r="Z40" s="48">
        <f t="shared" si="60"/>
        <v>189.00105186936719</v>
      </c>
      <c r="AA40" s="48">
        <f t="shared" si="60"/>
        <v>202.76104135067351</v>
      </c>
      <c r="AB40" s="48">
        <f t="shared" si="60"/>
        <v>217.13343093716676</v>
      </c>
      <c r="AC40" s="48">
        <f t="shared" si="60"/>
        <v>232.1120966277951</v>
      </c>
      <c r="AD40" s="48">
        <f t="shared" si="60"/>
        <v>248.19097566151714</v>
      </c>
      <c r="AE40" s="48">
        <f t="shared" si="60"/>
        <v>265.35906590490197</v>
      </c>
      <c r="AF40" s="48">
        <f t="shared" si="60"/>
        <v>284.10547524585292</v>
      </c>
      <c r="AG40" s="48">
        <f t="shared" si="60"/>
        <v>303.91442049339435</v>
      </c>
      <c r="AH40" s="48">
        <f t="shared" si="60"/>
        <v>324.77527628846036</v>
      </c>
      <c r="AI40" s="48">
        <f t="shared" si="60"/>
        <v>346.67752352557579</v>
      </c>
      <c r="AJ40" s="48">
        <f t="shared" ref="AJ40:BO40" si="61">SUM(AJ37:AJ39)</f>
        <v>369.61074829031998</v>
      </c>
      <c r="AK40" s="48">
        <f t="shared" si="61"/>
        <v>393.56464080741677</v>
      </c>
      <c r="AL40" s="48">
        <f t="shared" si="61"/>
        <v>418.52899439934254</v>
      </c>
      <c r="AM40" s="48">
        <f t="shared" si="61"/>
        <v>444.49370445534908</v>
      </c>
      <c r="AN40" s="48">
        <f t="shared" si="61"/>
        <v>470.9487674107956</v>
      </c>
      <c r="AO40" s="48">
        <f t="shared" si="61"/>
        <v>497.88927973668763</v>
      </c>
      <c r="AP40" s="48">
        <f t="shared" si="61"/>
        <v>525.31038693932067</v>
      </c>
      <c r="AQ40" s="48">
        <f t="shared" si="61"/>
        <v>553.70728306992748</v>
      </c>
      <c r="AR40" s="48">
        <f t="shared" si="61"/>
        <v>583.07021023922823</v>
      </c>
      <c r="AS40" s="48">
        <f t="shared" si="61"/>
        <v>613.88950813683584</v>
      </c>
      <c r="AT40" s="48">
        <f t="shared" si="61"/>
        <v>646.15061305546749</v>
      </c>
      <c r="AU40" s="48">
        <f t="shared" si="61"/>
        <v>679.3391069249127</v>
      </c>
      <c r="AV40" s="48">
        <f t="shared" si="61"/>
        <v>713.94571585566359</v>
      </c>
      <c r="AW40" s="48">
        <f t="shared" si="61"/>
        <v>749.95625869710693</v>
      </c>
      <c r="AX40" s="48">
        <f t="shared" si="61"/>
        <v>786.85669611013589</v>
      </c>
      <c r="AY40" s="48">
        <f t="shared" si="61"/>
        <v>824.63812914903451</v>
      </c>
      <c r="AZ40" s="48">
        <f t="shared" si="61"/>
        <v>862.79174785754412</v>
      </c>
      <c r="BA40" s="48">
        <f t="shared" si="61"/>
        <v>900.81383037896853</v>
      </c>
      <c r="BB40" s="48">
        <f t="shared" si="61"/>
        <v>939.20569207517883</v>
      </c>
      <c r="BC40" s="48">
        <f t="shared" si="61"/>
        <v>977.96363515442704</v>
      </c>
      <c r="BD40" s="48">
        <f t="shared" si="61"/>
        <v>1017.5839988028828</v>
      </c>
      <c r="BE40" s="48">
        <f t="shared" si="61"/>
        <v>1058.0581588148541</v>
      </c>
      <c r="BF40" s="48">
        <f t="shared" si="61"/>
        <v>1099.3775772267052</v>
      </c>
      <c r="BG40" s="48">
        <f t="shared" si="61"/>
        <v>1141.5338014544382</v>
      </c>
      <c r="BH40" s="48">
        <f t="shared" si="61"/>
        <v>1184.5184634398938</v>
      </c>
      <c r="BI40" s="48">
        <f t="shared" si="61"/>
        <v>1228.3232788054947</v>
      </c>
      <c r="BJ40" s="48">
        <f t="shared" si="61"/>
        <v>1272.94004601744</v>
      </c>
      <c r="BK40" s="48">
        <f t="shared" si="61"/>
        <v>1318.3606455572656</v>
      </c>
      <c r="BL40" s="48">
        <f t="shared" si="61"/>
        <v>1364.0770391016931</v>
      </c>
    </row>
    <row r="41" spans="1:64" x14ac:dyDescent="0.25">
      <c r="A41" s="8" t="s">
        <v>476</v>
      </c>
      <c r="B41" s="10" t="s">
        <v>136</v>
      </c>
      <c r="E41" s="47">
        <f t="shared" ref="E41:AJ41" si="62">D40*churn</f>
        <v>0.11</v>
      </c>
      <c r="F41" s="47">
        <f t="shared" si="62"/>
        <v>0.14940000000000001</v>
      </c>
      <c r="G41" s="47">
        <f t="shared" si="62"/>
        <v>0.18890599999999999</v>
      </c>
      <c r="H41" s="47">
        <f t="shared" si="62"/>
        <v>0.22851694000000003</v>
      </c>
      <c r="I41" s="47">
        <f t="shared" si="62"/>
        <v>0.27073177060000003</v>
      </c>
      <c r="J41" s="47">
        <f t="shared" si="62"/>
        <v>0.315524452894</v>
      </c>
      <c r="K41" s="47">
        <f t="shared" si="62"/>
        <v>0.36786920836505999</v>
      </c>
      <c r="L41" s="47">
        <f t="shared" si="62"/>
        <v>0.41769051628140946</v>
      </c>
      <c r="M41" s="47">
        <f t="shared" si="62"/>
        <v>0.4725136111185953</v>
      </c>
      <c r="N41" s="47">
        <f t="shared" si="62"/>
        <v>0.53728847500740939</v>
      </c>
      <c r="O41" s="47">
        <f t="shared" si="62"/>
        <v>0.60691559025733532</v>
      </c>
      <c r="P41" s="47">
        <f t="shared" si="62"/>
        <v>0.68134643435476194</v>
      </c>
      <c r="Q41" s="47">
        <f t="shared" si="62"/>
        <v>0.76053297001121423</v>
      </c>
      <c r="R41" s="47">
        <f t="shared" si="62"/>
        <v>0.84442764031110218</v>
      </c>
      <c r="S41" s="47">
        <f t="shared" si="62"/>
        <v>0.93498336390799131</v>
      </c>
      <c r="T41" s="47">
        <f t="shared" si="62"/>
        <v>1.0371335302689115</v>
      </c>
      <c r="U41" s="47">
        <f t="shared" si="62"/>
        <v>1.1507621949662223</v>
      </c>
      <c r="V41" s="47">
        <f t="shared" si="62"/>
        <v>1.2707545730165601</v>
      </c>
      <c r="W41" s="47">
        <f t="shared" si="62"/>
        <v>1.3970470272863946</v>
      </c>
      <c r="X41" s="47">
        <f t="shared" si="62"/>
        <v>1.5145765570135308</v>
      </c>
      <c r="Y41" s="47">
        <f t="shared" si="62"/>
        <v>1.6334307914433956</v>
      </c>
      <c r="Z41" s="47">
        <f t="shared" si="62"/>
        <v>1.7585964835289616</v>
      </c>
      <c r="AA41" s="47">
        <f t="shared" si="62"/>
        <v>1.890010518693672</v>
      </c>
      <c r="AB41" s="47">
        <f t="shared" si="62"/>
        <v>2.0276104135067352</v>
      </c>
      <c r="AC41" s="47">
        <f t="shared" si="62"/>
        <v>2.1713343093716677</v>
      </c>
      <c r="AD41" s="47">
        <f t="shared" si="62"/>
        <v>2.3211209662779511</v>
      </c>
      <c r="AE41" s="47">
        <f t="shared" si="62"/>
        <v>2.4819097566151713</v>
      </c>
      <c r="AF41" s="47">
        <f t="shared" si="62"/>
        <v>2.6535906590490197</v>
      </c>
      <c r="AG41" s="47">
        <f t="shared" si="62"/>
        <v>2.841054752458529</v>
      </c>
      <c r="AH41" s="47">
        <f t="shared" si="62"/>
        <v>3.0391442049339434</v>
      </c>
      <c r="AI41" s="47">
        <f t="shared" si="62"/>
        <v>3.2477527628846037</v>
      </c>
      <c r="AJ41" s="47">
        <f t="shared" si="62"/>
        <v>3.4667752352557581</v>
      </c>
      <c r="AK41" s="47">
        <f t="shared" ref="AK41:BL41" si="63">AJ40*churn</f>
        <v>3.6961074829031997</v>
      </c>
      <c r="AL41" s="47">
        <f t="shared" si="63"/>
        <v>3.9356464080741675</v>
      </c>
      <c r="AM41" s="47">
        <f t="shared" si="63"/>
        <v>4.1852899439934257</v>
      </c>
      <c r="AN41" s="47">
        <f t="shared" si="63"/>
        <v>4.444937044553491</v>
      </c>
      <c r="AO41" s="47">
        <f t="shared" si="63"/>
        <v>4.7094876741079563</v>
      </c>
      <c r="AP41" s="47">
        <f t="shared" si="63"/>
        <v>4.9788927973668766</v>
      </c>
      <c r="AQ41" s="47">
        <f t="shared" si="63"/>
        <v>5.2531038693932066</v>
      </c>
      <c r="AR41" s="47">
        <f t="shared" si="63"/>
        <v>5.5370728306992749</v>
      </c>
      <c r="AS41" s="47">
        <f t="shared" si="63"/>
        <v>5.8307021023922827</v>
      </c>
      <c r="AT41" s="47">
        <f t="shared" si="63"/>
        <v>6.1388950813683589</v>
      </c>
      <c r="AU41" s="47">
        <f t="shared" si="63"/>
        <v>6.4615061305546746</v>
      </c>
      <c r="AV41" s="47">
        <f t="shared" si="63"/>
        <v>6.7933910692491271</v>
      </c>
      <c r="AW41" s="47">
        <f t="shared" si="63"/>
        <v>7.1394571585566364</v>
      </c>
      <c r="AX41" s="47">
        <f t="shared" si="63"/>
        <v>7.4995625869710691</v>
      </c>
      <c r="AY41" s="47">
        <f t="shared" si="63"/>
        <v>7.8685669611013589</v>
      </c>
      <c r="AZ41" s="47">
        <f t="shared" si="63"/>
        <v>8.246381291490346</v>
      </c>
      <c r="BA41" s="47">
        <f t="shared" si="63"/>
        <v>8.6279174785754407</v>
      </c>
      <c r="BB41" s="47">
        <f t="shared" si="63"/>
        <v>9.0081383037896856</v>
      </c>
      <c r="BC41" s="47">
        <f t="shared" si="63"/>
        <v>9.3920569207517879</v>
      </c>
      <c r="BD41" s="47">
        <f t="shared" si="63"/>
        <v>9.779636351544271</v>
      </c>
      <c r="BE41" s="47">
        <f t="shared" si="63"/>
        <v>10.175839988028828</v>
      </c>
      <c r="BF41" s="47">
        <f t="shared" si="63"/>
        <v>10.580581588148542</v>
      </c>
      <c r="BG41" s="47">
        <f t="shared" si="63"/>
        <v>10.993775772267051</v>
      </c>
      <c r="BH41" s="47">
        <f t="shared" si="63"/>
        <v>11.415338014544382</v>
      </c>
      <c r="BI41" s="47">
        <f t="shared" si="63"/>
        <v>11.845184634398938</v>
      </c>
      <c r="BJ41" s="47">
        <f t="shared" si="63"/>
        <v>12.283232788054947</v>
      </c>
      <c r="BK41" s="47">
        <f t="shared" si="63"/>
        <v>12.7294004601744</v>
      </c>
      <c r="BL41" s="47">
        <f t="shared" si="63"/>
        <v>13.183606455572656</v>
      </c>
    </row>
    <row r="42" spans="1:64" x14ac:dyDescent="0.25">
      <c r="A42" s="44" t="s">
        <v>477</v>
      </c>
      <c r="B42" s="10" t="s">
        <v>140</v>
      </c>
      <c r="C42" s="39" t="s">
        <v>478</v>
      </c>
      <c r="D42" s="45">
        <f>cg_open_book</f>
        <v>979</v>
      </c>
      <c r="E42" s="46">
        <f t="shared" ref="E42:AJ42" si="64">D42*(1-churn)*(1+cg_growth)+E35*cg_per_new</f>
        <v>1319.2752599999999</v>
      </c>
      <c r="F42" s="46">
        <f t="shared" si="64"/>
        <v>1662.4190024443999</v>
      </c>
      <c r="G42" s="46">
        <f t="shared" si="64"/>
        <v>2008.4195812944756</v>
      </c>
      <c r="H42" s="46">
        <f t="shared" si="64"/>
        <v>2378.5153977944201</v>
      </c>
      <c r="I42" s="46">
        <f t="shared" si="64"/>
        <v>2772.6086252793743</v>
      </c>
      <c r="J42" s="46">
        <f t="shared" si="64"/>
        <v>3233.1018342607399</v>
      </c>
      <c r="K42" s="46">
        <f t="shared" si="64"/>
        <v>3674.7254408136414</v>
      </c>
      <c r="L42" s="46">
        <f t="shared" si="64"/>
        <v>4161.3060555239381</v>
      </c>
      <c r="M42" s="46">
        <f t="shared" si="64"/>
        <v>4735.1611529385109</v>
      </c>
      <c r="N42" s="46">
        <f t="shared" si="64"/>
        <v>5353.4363986575809</v>
      </c>
      <c r="O42" s="46">
        <f t="shared" si="64"/>
        <v>6015.9514468790312</v>
      </c>
      <c r="P42" s="46">
        <f t="shared" si="64"/>
        <v>6722.5266840047016</v>
      </c>
      <c r="Q42" s="46">
        <f t="shared" si="64"/>
        <v>7472.9832256676427</v>
      </c>
      <c r="R42" s="46">
        <f t="shared" si="64"/>
        <v>8284.1429137714313</v>
      </c>
      <c r="S42" s="46">
        <f t="shared" si="64"/>
        <v>9198.2592935415196</v>
      </c>
      <c r="T42" s="46">
        <f t="shared" si="64"/>
        <v>10214.91436080974</v>
      </c>
      <c r="U42" s="46">
        <f t="shared" si="64"/>
        <v>11291.191808504853</v>
      </c>
      <c r="V42" s="46">
        <f t="shared" si="64"/>
        <v>12426.849569762324</v>
      </c>
      <c r="W42" s="46">
        <f t="shared" si="64"/>
        <v>13494.146560509089</v>
      </c>
      <c r="X42" s="46">
        <f t="shared" si="64"/>
        <v>14578.360325473423</v>
      </c>
      <c r="Y42" s="46">
        <f t="shared" si="64"/>
        <v>15721.922182552</v>
      </c>
      <c r="Z42" s="46">
        <f t="shared" si="64"/>
        <v>16924.591178490839</v>
      </c>
      <c r="AA42" s="46">
        <f t="shared" si="64"/>
        <v>18186.127338306163</v>
      </c>
      <c r="AB42" s="46">
        <f t="shared" si="64"/>
        <v>19506.29166131264</v>
      </c>
      <c r="AC42" s="46">
        <f t="shared" si="64"/>
        <v>20884.846117167712</v>
      </c>
      <c r="AD42" s="46">
        <f t="shared" si="64"/>
        <v>22364.053641932009</v>
      </c>
      <c r="AE42" s="46">
        <f t="shared" si="64"/>
        <v>23943.505584145765</v>
      </c>
      <c r="AF42" s="46">
        <f t="shared" si="64"/>
        <v>25665.29495147413</v>
      </c>
      <c r="AG42" s="46">
        <f t="shared" si="64"/>
        <v>27486.343853971146</v>
      </c>
      <c r="AH42" s="46">
        <f t="shared" si="64"/>
        <v>29406.249297924023</v>
      </c>
      <c r="AI42" s="46">
        <f t="shared" si="64"/>
        <v>31424.609925774454</v>
      </c>
      <c r="AJ42" s="46">
        <f t="shared" si="64"/>
        <v>33541.026009475812</v>
      </c>
      <c r="AK42" s="46">
        <f t="shared" ref="AK42:BL42" si="65">AJ42*(1-churn)*(1+cg_growth)+AK35*cg_per_new</f>
        <v>35755.099443877341</v>
      </c>
      <c r="AL42" s="46">
        <f t="shared" si="65"/>
        <v>38066.433740135202</v>
      </c>
      <c r="AM42" s="46">
        <f t="shared" si="65"/>
        <v>40474.634019150253</v>
      </c>
      <c r="AN42" s="46">
        <f t="shared" si="65"/>
        <v>42936.807005032504</v>
      </c>
      <c r="AO42" s="46">
        <f t="shared" si="65"/>
        <v>45452.73356859207</v>
      </c>
      <c r="AP42" s="46">
        <f t="shared" si="65"/>
        <v>48022.195470303588</v>
      </c>
      <c r="AQ42" s="46">
        <f t="shared" si="65"/>
        <v>50687.475356694158</v>
      </c>
      <c r="AR42" s="46">
        <f t="shared" si="65"/>
        <v>53448.18420674598</v>
      </c>
      <c r="AS42" s="46">
        <f t="shared" si="65"/>
        <v>56346.434578866589</v>
      </c>
      <c r="AT42" s="46">
        <f t="shared" si="65"/>
        <v>59381.668054476395</v>
      </c>
      <c r="AU42" s="46">
        <f t="shared" si="65"/>
        <v>62510.828482175224</v>
      </c>
      <c r="AV42" s="46">
        <f t="shared" si="65"/>
        <v>65776.034518537592</v>
      </c>
      <c r="AW42" s="46">
        <f t="shared" si="65"/>
        <v>69176.733818392328</v>
      </c>
      <c r="AX42" s="46">
        <f t="shared" si="65"/>
        <v>72669.876279089658</v>
      </c>
      <c r="AY42" s="46">
        <f t="shared" si="65"/>
        <v>76255.08658139655</v>
      </c>
      <c r="AZ42" s="46">
        <f t="shared" si="65"/>
        <v>79889.490929876076</v>
      </c>
      <c r="BA42" s="46">
        <f t="shared" si="65"/>
        <v>83530.389596700785</v>
      </c>
      <c r="BB42" s="46">
        <f t="shared" si="65"/>
        <v>87220.256214938185</v>
      </c>
      <c r="BC42" s="46">
        <f t="shared" si="65"/>
        <v>90958.891974705533</v>
      </c>
      <c r="BD42" s="46">
        <f t="shared" si="65"/>
        <v>94788.598873288225</v>
      </c>
      <c r="BE42" s="46">
        <f t="shared" si="65"/>
        <v>98709.007161862668</v>
      </c>
      <c r="BF42" s="46">
        <f t="shared" si="65"/>
        <v>102719.7485927855</v>
      </c>
      <c r="BG42" s="46">
        <f t="shared" si="65"/>
        <v>106820.45641349879</v>
      </c>
      <c r="BH42" s="46">
        <f t="shared" si="65"/>
        <v>111010.76536045999</v>
      </c>
      <c r="BI42" s="46">
        <f t="shared" si="65"/>
        <v>115290.31165309652</v>
      </c>
      <c r="BJ42" s="46">
        <f t="shared" si="65"/>
        <v>119658.73298778494</v>
      </c>
      <c r="BK42" s="46">
        <f t="shared" si="65"/>
        <v>124115.66853185454</v>
      </c>
      <c r="BL42" s="46">
        <f t="shared" si="65"/>
        <v>128618.2589176152</v>
      </c>
    </row>
    <row r="43" spans="1:64" x14ac:dyDescent="0.25">
      <c r="A43" s="8" t="s">
        <v>479</v>
      </c>
      <c r="B43" s="10" t="s">
        <v>140</v>
      </c>
      <c r="D43" s="47">
        <f t="shared" ref="D43:AI43" si="66">D42/D40</f>
        <v>89</v>
      </c>
      <c r="E43" s="47">
        <f t="shared" si="66"/>
        <v>88.304903614457814</v>
      </c>
      <c r="F43" s="47">
        <f t="shared" si="66"/>
        <v>88.002445790202529</v>
      </c>
      <c r="G43" s="47">
        <f t="shared" si="66"/>
        <v>87.889308394138112</v>
      </c>
      <c r="H43" s="47">
        <f t="shared" si="66"/>
        <v>87.855052715945263</v>
      </c>
      <c r="I43" s="47">
        <f t="shared" si="66"/>
        <v>87.873019027492873</v>
      </c>
      <c r="J43" s="47">
        <f t="shared" si="66"/>
        <v>87.88726429781336</v>
      </c>
      <c r="K43" s="47">
        <f t="shared" si="66"/>
        <v>87.977229493472123</v>
      </c>
      <c r="L43" s="47">
        <f t="shared" si="66"/>
        <v>88.067432505759072</v>
      </c>
      <c r="M43" s="47">
        <f t="shared" si="66"/>
        <v>88.130703955137164</v>
      </c>
      <c r="N43" s="47">
        <f t="shared" si="66"/>
        <v>88.207264479525008</v>
      </c>
      <c r="O43" s="47">
        <f t="shared" si="66"/>
        <v>88.295045567768526</v>
      </c>
      <c r="P43" s="47">
        <f t="shared" si="66"/>
        <v>88.392311038212796</v>
      </c>
      <c r="Q43" s="47">
        <f t="shared" si="66"/>
        <v>88.497615058105666</v>
      </c>
      <c r="R43" s="47">
        <f t="shared" si="66"/>
        <v>88.602035432436281</v>
      </c>
      <c r="S43" s="47">
        <f t="shared" si="66"/>
        <v>88.689248058121933</v>
      </c>
      <c r="T43" s="47">
        <f t="shared" si="66"/>
        <v>88.766509757557458</v>
      </c>
      <c r="U43" s="47">
        <f t="shared" si="66"/>
        <v>88.85422919786501</v>
      </c>
      <c r="V43" s="47">
        <f t="shared" si="66"/>
        <v>88.950832198541448</v>
      </c>
      <c r="W43" s="47">
        <f t="shared" si="66"/>
        <v>89.095176457221086</v>
      </c>
      <c r="X43" s="47">
        <f t="shared" si="66"/>
        <v>89.249941912697295</v>
      </c>
      <c r="Y43" s="47">
        <f t="shared" si="66"/>
        <v>89.400395882760691</v>
      </c>
      <c r="Z43" s="47">
        <f t="shared" si="66"/>
        <v>89.54760310111233</v>
      </c>
      <c r="AA43" s="47">
        <f t="shared" si="66"/>
        <v>89.692414366985858</v>
      </c>
      <c r="AB43" s="47">
        <f t="shared" si="66"/>
        <v>89.835506108487252</v>
      </c>
      <c r="AC43" s="47">
        <f t="shared" si="66"/>
        <v>89.977413588477233</v>
      </c>
      <c r="AD43" s="47">
        <f t="shared" si="66"/>
        <v>90.108246612608937</v>
      </c>
      <c r="AE43" s="47">
        <f t="shared" si="66"/>
        <v>90.230591905710568</v>
      </c>
      <c r="AF43" s="47">
        <f t="shared" si="66"/>
        <v>90.337206381765313</v>
      </c>
      <c r="AG43" s="47">
        <f t="shared" si="66"/>
        <v>90.441064985820802</v>
      </c>
      <c r="AH43" s="47">
        <f t="shared" si="66"/>
        <v>90.543373972241184</v>
      </c>
      <c r="AI43" s="47">
        <f t="shared" si="66"/>
        <v>90.64507443747253</v>
      </c>
      <c r="AJ43" s="47">
        <f t="shared" ref="AJ43:BO43" si="67">AJ42/AJ40</f>
        <v>90.746890247710482</v>
      </c>
      <c r="AK43" s="47">
        <f t="shared" si="67"/>
        <v>90.84936942130787</v>
      </c>
      <c r="AL43" s="47">
        <f t="shared" si="67"/>
        <v>90.952919031969941</v>
      </c>
      <c r="AM43" s="47">
        <f t="shared" si="67"/>
        <v>91.057834145806382</v>
      </c>
      <c r="AN43" s="47">
        <f t="shared" si="67"/>
        <v>91.170866081872376</v>
      </c>
      <c r="AO43" s="47">
        <f t="shared" si="67"/>
        <v>91.290846014258591</v>
      </c>
      <c r="AP43" s="47">
        <f t="shared" si="67"/>
        <v>91.41680169337809</v>
      </c>
      <c r="AQ43" s="47">
        <f t="shared" si="67"/>
        <v>91.542005869359059</v>
      </c>
      <c r="AR43" s="47">
        <f t="shared" si="67"/>
        <v>91.666806618051524</v>
      </c>
      <c r="AS43" s="47">
        <f t="shared" si="67"/>
        <v>91.785954690574357</v>
      </c>
      <c r="AT43" s="47">
        <f t="shared" si="67"/>
        <v>91.900660395069366</v>
      </c>
      <c r="AU43" s="47">
        <f t="shared" si="67"/>
        <v>92.017120529297813</v>
      </c>
      <c r="AV43" s="47">
        <f t="shared" si="67"/>
        <v>92.130302147278869</v>
      </c>
      <c r="AW43" s="47">
        <f t="shared" si="67"/>
        <v>92.241024747993322</v>
      </c>
      <c r="AX43" s="47">
        <f t="shared" si="67"/>
        <v>92.354651918623432</v>
      </c>
      <c r="AY43" s="47">
        <f t="shared" si="67"/>
        <v>92.470968641828577</v>
      </c>
      <c r="AZ43" s="47">
        <f t="shared" si="67"/>
        <v>92.594175973814089</v>
      </c>
      <c r="BA43" s="47">
        <f t="shared" si="67"/>
        <v>92.727694424451613</v>
      </c>
      <c r="BB43" s="47">
        <f t="shared" si="67"/>
        <v>92.865979146937107</v>
      </c>
      <c r="BC43" s="47">
        <f t="shared" si="67"/>
        <v>93.008460340493656</v>
      </c>
      <c r="BD43" s="47">
        <f t="shared" si="67"/>
        <v>93.150638163336353</v>
      </c>
      <c r="BE43" s="47">
        <f t="shared" si="67"/>
        <v>93.292609994547007</v>
      </c>
      <c r="BF43" s="47">
        <f t="shared" si="67"/>
        <v>93.434458479594241</v>
      </c>
      <c r="BG43" s="47">
        <f t="shared" si="67"/>
        <v>93.57625352608737</v>
      </c>
      <c r="BH43" s="47">
        <f t="shared" si="67"/>
        <v>93.718054033602684</v>
      </c>
      <c r="BI43" s="47">
        <f t="shared" si="67"/>
        <v>93.859909392267383</v>
      </c>
      <c r="BJ43" s="47">
        <f t="shared" si="67"/>
        <v>94.001860780602357</v>
      </c>
      <c r="BK43" s="47">
        <f t="shared" si="67"/>
        <v>94.143942289320506</v>
      </c>
      <c r="BL43" s="47">
        <f t="shared" si="67"/>
        <v>94.289585727735854</v>
      </c>
    </row>
    <row r="44" spans="1:64" x14ac:dyDescent="0.25">
      <c r="A44" s="19" t="s">
        <v>480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</row>
    <row r="45" spans="1:64" x14ac:dyDescent="0.25">
      <c r="A45" s="8" t="s">
        <v>481</v>
      </c>
      <c r="B45" s="10" t="s">
        <v>221</v>
      </c>
      <c r="E45" s="43">
        <f t="shared" ref="E45:AJ45" si="68">D42*shifts_per_cg*open_rate*E14</f>
        <v>712.71199999999999</v>
      </c>
      <c r="F45" s="43">
        <f t="shared" si="68"/>
        <v>960.43238928000005</v>
      </c>
      <c r="G45" s="43">
        <f t="shared" si="68"/>
        <v>1210.2410337795234</v>
      </c>
      <c r="H45" s="43">
        <f t="shared" si="68"/>
        <v>1462.1294551823783</v>
      </c>
      <c r="I45" s="43">
        <f t="shared" si="68"/>
        <v>1731.559209594338</v>
      </c>
      <c r="J45" s="43">
        <f t="shared" si="68"/>
        <v>2018.4590792033848</v>
      </c>
      <c r="K45" s="43">
        <f t="shared" si="68"/>
        <v>2353.6981353418191</v>
      </c>
      <c r="L45" s="43">
        <f t="shared" si="68"/>
        <v>2675.2001209123314</v>
      </c>
      <c r="M45" s="43">
        <f t="shared" si="68"/>
        <v>3029.4308084214276</v>
      </c>
      <c r="N45" s="43">
        <f t="shared" si="68"/>
        <v>3447.1973193392364</v>
      </c>
      <c r="O45" s="43">
        <f t="shared" si="68"/>
        <v>3897.3016982227196</v>
      </c>
      <c r="P45" s="43">
        <f t="shared" si="68"/>
        <v>4379.6126533279348</v>
      </c>
      <c r="Q45" s="43">
        <f t="shared" si="68"/>
        <v>5082.2301731075549</v>
      </c>
      <c r="R45" s="43">
        <f t="shared" si="68"/>
        <v>5649.5753186047386</v>
      </c>
      <c r="S45" s="43">
        <f t="shared" si="68"/>
        <v>6262.8120428112034</v>
      </c>
      <c r="T45" s="43">
        <f t="shared" si="68"/>
        <v>6953.8840259173903</v>
      </c>
      <c r="U45" s="43">
        <f t="shared" si="68"/>
        <v>7722.4752567721653</v>
      </c>
      <c r="V45" s="43">
        <f t="shared" si="68"/>
        <v>8536.1410072296694</v>
      </c>
      <c r="W45" s="43">
        <f t="shared" si="68"/>
        <v>9394.6982747403181</v>
      </c>
      <c r="X45" s="43">
        <f t="shared" si="68"/>
        <v>10201.574799744873</v>
      </c>
      <c r="Y45" s="43">
        <f t="shared" si="68"/>
        <v>11021.240406057908</v>
      </c>
      <c r="Z45" s="43">
        <f t="shared" si="68"/>
        <v>11885.773170009314</v>
      </c>
      <c r="AA45" s="43">
        <f t="shared" si="68"/>
        <v>12794.990930939075</v>
      </c>
      <c r="AB45" s="43">
        <f t="shared" si="68"/>
        <v>13748.712267759462</v>
      </c>
      <c r="AC45" s="43">
        <f t="shared" si="68"/>
        <v>15292.932662469113</v>
      </c>
      <c r="AD45" s="43">
        <f t="shared" si="68"/>
        <v>16373.71935585949</v>
      </c>
      <c r="AE45" s="43">
        <f t="shared" si="68"/>
        <v>17533.418055274698</v>
      </c>
      <c r="AF45" s="43">
        <f t="shared" si="68"/>
        <v>18771.708377970281</v>
      </c>
      <c r="AG45" s="43">
        <f t="shared" si="68"/>
        <v>20121.591241955721</v>
      </c>
      <c r="AH45" s="43">
        <f t="shared" si="68"/>
        <v>21549.293581513382</v>
      </c>
      <c r="AI45" s="43">
        <f t="shared" si="68"/>
        <v>23054.499449572435</v>
      </c>
      <c r="AJ45" s="43">
        <f t="shared" si="68"/>
        <v>24636.894181807176</v>
      </c>
      <c r="AK45" s="43">
        <f t="shared" ref="AK45:BL45" si="69">AJ42*shifts_per_cg*open_rate*AK14</f>
        <v>26296.16439142904</v>
      </c>
      <c r="AL45" s="43">
        <f t="shared" si="69"/>
        <v>28031.997963999838</v>
      </c>
      <c r="AM45" s="43">
        <f t="shared" si="69"/>
        <v>29844.084052266004</v>
      </c>
      <c r="AN45" s="43">
        <f t="shared" si="69"/>
        <v>31732.113071013806</v>
      </c>
      <c r="AO45" s="43">
        <f t="shared" si="69"/>
        <v>34864.687288086396</v>
      </c>
      <c r="AP45" s="43">
        <f t="shared" si="69"/>
        <v>36907.61965769677</v>
      </c>
      <c r="AQ45" s="43">
        <f t="shared" si="69"/>
        <v>38994.022721886526</v>
      </c>
      <c r="AR45" s="43">
        <f t="shared" si="69"/>
        <v>41158.229989635664</v>
      </c>
      <c r="AS45" s="43">
        <f t="shared" si="69"/>
        <v>43399.925575877744</v>
      </c>
      <c r="AT45" s="43">
        <f t="shared" si="69"/>
        <v>45753.304878039678</v>
      </c>
      <c r="AU45" s="43">
        <f t="shared" si="69"/>
        <v>48217.914460234839</v>
      </c>
      <c r="AV45" s="43">
        <f t="shared" si="69"/>
        <v>50758.792727526292</v>
      </c>
      <c r="AW45" s="43">
        <f t="shared" si="69"/>
        <v>53410.140029052542</v>
      </c>
      <c r="AX45" s="43">
        <f t="shared" si="69"/>
        <v>56171.507860534584</v>
      </c>
      <c r="AY45" s="43">
        <f t="shared" si="69"/>
        <v>59007.93953862082</v>
      </c>
      <c r="AZ45" s="43">
        <f t="shared" si="69"/>
        <v>61919.130304094011</v>
      </c>
      <c r="BA45" s="43">
        <f t="shared" si="69"/>
        <v>67107.172381095908</v>
      </c>
      <c r="BB45" s="43">
        <f t="shared" si="69"/>
        <v>70165.527261228664</v>
      </c>
      <c r="BC45" s="43">
        <f t="shared" si="69"/>
        <v>73265.015220548084</v>
      </c>
      <c r="BD45" s="43">
        <f t="shared" si="69"/>
        <v>76405.469258752652</v>
      </c>
      <c r="BE45" s="43">
        <f t="shared" si="69"/>
        <v>79622.423053562117</v>
      </c>
      <c r="BF45" s="43">
        <f t="shared" si="69"/>
        <v>82915.56601596465</v>
      </c>
      <c r="BG45" s="43">
        <f t="shared" si="69"/>
        <v>86284.588817939832</v>
      </c>
      <c r="BH45" s="43">
        <f t="shared" si="69"/>
        <v>89729.183387338999</v>
      </c>
      <c r="BI45" s="43">
        <f t="shared" si="69"/>
        <v>93249.042902786401</v>
      </c>
      <c r="BJ45" s="43">
        <f t="shared" si="69"/>
        <v>96843.861788601091</v>
      </c>
      <c r="BK45" s="43">
        <f t="shared" si="69"/>
        <v>100513.33570973936</v>
      </c>
      <c r="BL45" s="43">
        <f t="shared" si="69"/>
        <v>104257.16156675783</v>
      </c>
    </row>
    <row r="46" spans="1:64" x14ac:dyDescent="0.25">
      <c r="A46" s="8" t="s">
        <v>482</v>
      </c>
      <c r="B46" s="10" t="s">
        <v>83</v>
      </c>
      <c r="E46" s="50">
        <f t="shared" ref="E46:AJ46" si="70">D42*E12</f>
        <v>11748</v>
      </c>
      <c r="F46" s="50">
        <f t="shared" si="70"/>
        <v>15831.303119999999</v>
      </c>
      <c r="G46" s="50">
        <f t="shared" si="70"/>
        <v>19949.0280293328</v>
      </c>
      <c r="H46" s="50">
        <f t="shared" si="70"/>
        <v>24101.034975533708</v>
      </c>
      <c r="I46" s="50">
        <f t="shared" si="70"/>
        <v>28542.184773533041</v>
      </c>
      <c r="J46" s="50">
        <f t="shared" si="70"/>
        <v>33271.303503352494</v>
      </c>
      <c r="K46" s="50">
        <f t="shared" si="70"/>
        <v>38797.222011128877</v>
      </c>
      <c r="L46" s="50">
        <f t="shared" si="70"/>
        <v>44096.705289763697</v>
      </c>
      <c r="M46" s="50">
        <f t="shared" si="70"/>
        <v>49935.672666287253</v>
      </c>
      <c r="N46" s="50">
        <f t="shared" si="70"/>
        <v>56821.933835262127</v>
      </c>
      <c r="O46" s="50">
        <f t="shared" si="70"/>
        <v>64241.23678389097</v>
      </c>
      <c r="P46" s="50">
        <f t="shared" si="70"/>
        <v>72191.417362548382</v>
      </c>
      <c r="Q46" s="50">
        <f t="shared" si="70"/>
        <v>83897.133016378677</v>
      </c>
      <c r="R46" s="50">
        <f t="shared" si="70"/>
        <v>93262.830656332182</v>
      </c>
      <c r="S46" s="50">
        <f t="shared" si="70"/>
        <v>103386.10356386747</v>
      </c>
      <c r="T46" s="50">
        <f t="shared" si="70"/>
        <v>114794.27598339817</v>
      </c>
      <c r="U46" s="50">
        <f t="shared" si="70"/>
        <v>127482.13122290556</v>
      </c>
      <c r="V46" s="50">
        <f t="shared" si="70"/>
        <v>140914.07377014056</v>
      </c>
      <c r="W46" s="50">
        <f t="shared" si="70"/>
        <v>155087.08263063381</v>
      </c>
      <c r="X46" s="50">
        <f t="shared" si="70"/>
        <v>168406.94907515345</v>
      </c>
      <c r="Y46" s="50">
        <f t="shared" si="70"/>
        <v>181937.93686190833</v>
      </c>
      <c r="Z46" s="50">
        <f t="shared" si="70"/>
        <v>196209.58883824898</v>
      </c>
      <c r="AA46" s="50">
        <f t="shared" si="70"/>
        <v>211218.89790756567</v>
      </c>
      <c r="AB46" s="50">
        <f t="shared" si="70"/>
        <v>226962.86918206094</v>
      </c>
      <c r="AC46" s="50">
        <f t="shared" si="70"/>
        <v>253176.06073050905</v>
      </c>
      <c r="AD46" s="50">
        <f t="shared" si="70"/>
        <v>271068.59472394321</v>
      </c>
      <c r="AE46" s="50">
        <f t="shared" si="70"/>
        <v>290267.52502936398</v>
      </c>
      <c r="AF46" s="50">
        <f t="shared" si="70"/>
        <v>310767.54767774476</v>
      </c>
      <c r="AG46" s="50">
        <f t="shared" si="70"/>
        <v>333114.99623417307</v>
      </c>
      <c r="AH46" s="50">
        <f t="shared" si="70"/>
        <v>356750.75414946239</v>
      </c>
      <c r="AI46" s="50">
        <f t="shared" si="70"/>
        <v>381669.59088761557</v>
      </c>
      <c r="AJ46" s="50">
        <f t="shared" si="70"/>
        <v>407866.29714861186</v>
      </c>
      <c r="AK46" s="50">
        <f t="shared" ref="AK46:BL46" si="71">AJ42*AK12</f>
        <v>435335.68478218856</v>
      </c>
      <c r="AL46" s="50">
        <f t="shared" si="71"/>
        <v>464072.58670197288</v>
      </c>
      <c r="AM46" s="50">
        <f t="shared" si="71"/>
        <v>494071.85679996293</v>
      </c>
      <c r="AN46" s="50">
        <f t="shared" si="71"/>
        <v>525328.36986135505</v>
      </c>
      <c r="AO46" s="50">
        <f t="shared" si="71"/>
        <v>579576.8216989066</v>
      </c>
      <c r="AP46" s="50">
        <f t="shared" si="71"/>
        <v>613537.72431480908</v>
      </c>
      <c r="AQ46" s="50">
        <f t="shared" si="71"/>
        <v>648221.26662609098</v>
      </c>
      <c r="AR46" s="50">
        <f t="shared" si="71"/>
        <v>684198.19535558904</v>
      </c>
      <c r="AS46" s="50">
        <f t="shared" si="71"/>
        <v>721463.25935444538</v>
      </c>
      <c r="AT46" s="50">
        <f t="shared" si="71"/>
        <v>760584.90943346627</v>
      </c>
      <c r="AU46" s="50">
        <f t="shared" si="71"/>
        <v>801555.60785316653</v>
      </c>
      <c r="AV46" s="50">
        <f t="shared" si="71"/>
        <v>843794.16683728271</v>
      </c>
      <c r="AW46" s="50">
        <f t="shared" si="71"/>
        <v>887869.11951192329</v>
      </c>
      <c r="AX46" s="50">
        <f t="shared" si="71"/>
        <v>933773.01011870487</v>
      </c>
      <c r="AY46" s="50">
        <f t="shared" si="71"/>
        <v>980924.73252962297</v>
      </c>
      <c r="AZ46" s="50">
        <f t="shared" si="71"/>
        <v>1029319.2205475527</v>
      </c>
      <c r="BA46" s="50">
        <f t="shared" si="71"/>
        <v>1121512.8578202948</v>
      </c>
      <c r="BB46" s="50">
        <f t="shared" si="71"/>
        <v>1172624.8954780246</v>
      </c>
      <c r="BC46" s="50">
        <f t="shared" si="71"/>
        <v>1224424.3600612639</v>
      </c>
      <c r="BD46" s="50">
        <f t="shared" si="71"/>
        <v>1276908.460616695</v>
      </c>
      <c r="BE46" s="50">
        <f t="shared" si="71"/>
        <v>1330671.0453878713</v>
      </c>
      <c r="BF46" s="50">
        <f t="shared" si="71"/>
        <v>1385706.9237288765</v>
      </c>
      <c r="BG46" s="50">
        <f t="shared" si="71"/>
        <v>1442010.926067817</v>
      </c>
      <c r="BH46" s="50">
        <f t="shared" si="71"/>
        <v>1499577.9038212618</v>
      </c>
      <c r="BI46" s="50">
        <f t="shared" si="71"/>
        <v>1558402.7293090275</v>
      </c>
      <c r="BJ46" s="50">
        <f t="shared" si="71"/>
        <v>1618480.2956693128</v>
      </c>
      <c r="BK46" s="50">
        <f t="shared" si="71"/>
        <v>1679805.5167741755</v>
      </c>
      <c r="BL46" s="50">
        <f t="shared" si="71"/>
        <v>1742373.3271453523</v>
      </c>
    </row>
    <row r="47" spans="1:64" x14ac:dyDescent="0.25">
      <c r="A47" s="8" t="s">
        <v>483</v>
      </c>
      <c r="B47" s="10" t="s">
        <v>83</v>
      </c>
      <c r="E47" s="50">
        <f t="shared" ref="E47:AJ47" si="72">E45*E13</f>
        <v>5701.6959999999999</v>
      </c>
      <c r="F47" s="50">
        <f t="shared" si="72"/>
        <v>7683.4591142400004</v>
      </c>
      <c r="G47" s="50">
        <f t="shared" si="72"/>
        <v>9681.928270236187</v>
      </c>
      <c r="H47" s="50">
        <f t="shared" si="72"/>
        <v>11697.035641459026</v>
      </c>
      <c r="I47" s="50">
        <f t="shared" si="72"/>
        <v>13852.473676754704</v>
      </c>
      <c r="J47" s="50">
        <f t="shared" si="72"/>
        <v>16147.672633627079</v>
      </c>
      <c r="K47" s="50">
        <f t="shared" si="72"/>
        <v>18829.585082734553</v>
      </c>
      <c r="L47" s="50">
        <f t="shared" si="72"/>
        <v>21401.600967298651</v>
      </c>
      <c r="M47" s="50">
        <f t="shared" si="72"/>
        <v>24235.446467371421</v>
      </c>
      <c r="N47" s="50">
        <f t="shared" si="72"/>
        <v>27577.578554713891</v>
      </c>
      <c r="O47" s="50">
        <f t="shared" si="72"/>
        <v>31178.413585781756</v>
      </c>
      <c r="P47" s="50">
        <f t="shared" si="72"/>
        <v>35036.901226623479</v>
      </c>
      <c r="Q47" s="50">
        <f t="shared" si="72"/>
        <v>41877.576626406255</v>
      </c>
      <c r="R47" s="50">
        <f t="shared" si="72"/>
        <v>46552.500625303044</v>
      </c>
      <c r="S47" s="50">
        <f t="shared" si="72"/>
        <v>51605.57123276432</v>
      </c>
      <c r="T47" s="50">
        <f t="shared" si="72"/>
        <v>57300.004373559299</v>
      </c>
      <c r="U47" s="50">
        <f t="shared" si="72"/>
        <v>63633.196115802646</v>
      </c>
      <c r="V47" s="50">
        <f t="shared" si="72"/>
        <v>70337.801899572471</v>
      </c>
      <c r="W47" s="50">
        <f t="shared" si="72"/>
        <v>77412.313783860227</v>
      </c>
      <c r="X47" s="50">
        <f t="shared" si="72"/>
        <v>84060.976349897755</v>
      </c>
      <c r="Y47" s="50">
        <f t="shared" si="72"/>
        <v>90815.02094591716</v>
      </c>
      <c r="Z47" s="50">
        <f t="shared" si="72"/>
        <v>97938.770920876748</v>
      </c>
      <c r="AA47" s="50">
        <f t="shared" si="72"/>
        <v>105430.72527093798</v>
      </c>
      <c r="AB47" s="50">
        <f t="shared" si="72"/>
        <v>113289.38908633796</v>
      </c>
      <c r="AC47" s="50">
        <f t="shared" si="72"/>
        <v>129794.17809290785</v>
      </c>
      <c r="AD47" s="50">
        <f t="shared" si="72"/>
        <v>138967.03091705067</v>
      </c>
      <c r="AE47" s="50">
        <f t="shared" si="72"/>
        <v>148809.62571872742</v>
      </c>
      <c r="AF47" s="50">
        <f t="shared" si="72"/>
        <v>159319.24334550937</v>
      </c>
      <c r="AG47" s="50">
        <f t="shared" si="72"/>
        <v>170775.96918872659</v>
      </c>
      <c r="AH47" s="50">
        <f t="shared" si="72"/>
        <v>182893.16448502036</v>
      </c>
      <c r="AI47" s="50">
        <f t="shared" si="72"/>
        <v>195668.14772841116</v>
      </c>
      <c r="AJ47" s="50">
        <f t="shared" si="72"/>
        <v>209098.24829983385</v>
      </c>
      <c r="AK47" s="50">
        <f t="shared" ref="AK47:BL47" si="73">AK45*AK13</f>
        <v>223180.80642293653</v>
      </c>
      <c r="AL47" s="50">
        <f t="shared" si="73"/>
        <v>237913.17312005942</v>
      </c>
      <c r="AM47" s="50">
        <f t="shared" si="73"/>
        <v>253292.71016839202</v>
      </c>
      <c r="AN47" s="50">
        <f t="shared" si="73"/>
        <v>269316.79005630838</v>
      </c>
      <c r="AO47" s="50">
        <f t="shared" si="73"/>
        <v>304780.68116999028</v>
      </c>
      <c r="AP47" s="50">
        <f t="shared" si="73"/>
        <v>322639.62004556815</v>
      </c>
      <c r="AQ47" s="50">
        <f t="shared" si="73"/>
        <v>340878.57173455117</v>
      </c>
      <c r="AR47" s="50">
        <f t="shared" si="73"/>
        <v>359797.67345507687</v>
      </c>
      <c r="AS47" s="50">
        <f t="shared" si="73"/>
        <v>379394.16379801725</v>
      </c>
      <c r="AT47" s="50">
        <f t="shared" si="73"/>
        <v>399966.97263572534</v>
      </c>
      <c r="AU47" s="50">
        <f t="shared" si="73"/>
        <v>421512.13611511228</v>
      </c>
      <c r="AV47" s="50">
        <f t="shared" si="73"/>
        <v>443724.02640617295</v>
      </c>
      <c r="AW47" s="50">
        <f t="shared" si="73"/>
        <v>466901.61666821199</v>
      </c>
      <c r="AX47" s="50">
        <f t="shared" si="73"/>
        <v>491040.986159347</v>
      </c>
      <c r="AY47" s="50">
        <f t="shared" si="73"/>
        <v>515836.54998574808</v>
      </c>
      <c r="AZ47" s="50">
        <f t="shared" si="73"/>
        <v>541285.64399841393</v>
      </c>
      <c r="BA47" s="50">
        <f t="shared" si="73"/>
        <v>604237.70983289694</v>
      </c>
      <c r="BB47" s="50">
        <f t="shared" si="73"/>
        <v>631775.35272646428</v>
      </c>
      <c r="BC47" s="50">
        <f t="shared" si="73"/>
        <v>659683.36076408764</v>
      </c>
      <c r="BD47" s="50">
        <f t="shared" si="73"/>
        <v>687960.2302632822</v>
      </c>
      <c r="BE47" s="50">
        <f t="shared" si="73"/>
        <v>716925.90896265011</v>
      </c>
      <c r="BF47" s="50">
        <f t="shared" si="73"/>
        <v>746577.60029683844</v>
      </c>
      <c r="BG47" s="50">
        <f t="shared" si="73"/>
        <v>776912.5190545501</v>
      </c>
      <c r="BH47" s="50">
        <f t="shared" si="73"/>
        <v>807927.89133244543</v>
      </c>
      <c r="BI47" s="50">
        <f t="shared" si="73"/>
        <v>839620.95448923251</v>
      </c>
      <c r="BJ47" s="50">
        <f t="shared" si="73"/>
        <v>871988.95709994307</v>
      </c>
      <c r="BK47" s="50">
        <f t="shared" si="73"/>
        <v>905029.15891039395</v>
      </c>
      <c r="BL47" s="50">
        <f t="shared" si="73"/>
        <v>938738.83079183463</v>
      </c>
    </row>
    <row r="48" spans="1:64" x14ac:dyDescent="0.25">
      <c r="A48" s="8" t="s">
        <v>484</v>
      </c>
      <c r="B48" s="10" t="s">
        <v>83</v>
      </c>
      <c r="E48" s="50">
        <f t="shared" ref="E48:AJ48" si="74">D42*E15*onb_fee</f>
        <v>1468.5</v>
      </c>
      <c r="F48" s="50">
        <f t="shared" si="74"/>
        <v>1978.9128900000001</v>
      </c>
      <c r="G48" s="50">
        <f t="shared" si="74"/>
        <v>2493.6285036666</v>
      </c>
      <c r="H48" s="50">
        <f t="shared" si="74"/>
        <v>3012.6293719417135</v>
      </c>
      <c r="I48" s="50">
        <f t="shared" si="74"/>
        <v>3567.7730966916301</v>
      </c>
      <c r="J48" s="50">
        <f t="shared" si="74"/>
        <v>4158.9129379190617</v>
      </c>
      <c r="K48" s="50">
        <f t="shared" si="74"/>
        <v>4849.6527513911096</v>
      </c>
      <c r="L48" s="50">
        <f t="shared" si="74"/>
        <v>5512.0881612204621</v>
      </c>
      <c r="M48" s="50">
        <f t="shared" si="74"/>
        <v>6241.9590832859076</v>
      </c>
      <c r="N48" s="50">
        <f t="shared" si="74"/>
        <v>7102.7417294077668</v>
      </c>
      <c r="O48" s="50">
        <f t="shared" si="74"/>
        <v>8030.1545979863713</v>
      </c>
      <c r="P48" s="50">
        <f t="shared" si="74"/>
        <v>9023.9271703185477</v>
      </c>
      <c r="Q48" s="50">
        <f t="shared" si="74"/>
        <v>9579.6005247067005</v>
      </c>
      <c r="R48" s="50">
        <f t="shared" si="74"/>
        <v>10649.001096576392</v>
      </c>
      <c r="S48" s="50">
        <f t="shared" si="74"/>
        <v>11804.903652124289</v>
      </c>
      <c r="T48" s="50">
        <f t="shared" si="74"/>
        <v>13107.519493296666</v>
      </c>
      <c r="U48" s="50">
        <f t="shared" si="74"/>
        <v>14556.25296415388</v>
      </c>
      <c r="V48" s="50">
        <f t="shared" si="74"/>
        <v>16089.948327119415</v>
      </c>
      <c r="W48" s="50">
        <f t="shared" si="74"/>
        <v>17708.260636911313</v>
      </c>
      <c r="X48" s="50">
        <f t="shared" si="74"/>
        <v>19229.158848725452</v>
      </c>
      <c r="Y48" s="50">
        <f t="shared" si="74"/>
        <v>20774.163463799625</v>
      </c>
      <c r="Z48" s="50">
        <f t="shared" si="74"/>
        <v>22403.739110136601</v>
      </c>
      <c r="AA48" s="50">
        <f t="shared" si="74"/>
        <v>24117.542429349443</v>
      </c>
      <c r="AB48" s="50">
        <f t="shared" si="74"/>
        <v>25915.231457086284</v>
      </c>
      <c r="AC48" s="50">
        <f t="shared" si="74"/>
        <v>26333.493742772065</v>
      </c>
      <c r="AD48" s="50">
        <f t="shared" si="74"/>
        <v>28194.542258176414</v>
      </c>
      <c r="AE48" s="50">
        <f t="shared" si="74"/>
        <v>30191.472416608216</v>
      </c>
      <c r="AF48" s="50">
        <f t="shared" si="74"/>
        <v>32323.732538596789</v>
      </c>
      <c r="AG48" s="50">
        <f t="shared" si="74"/>
        <v>34648.148184490077</v>
      </c>
      <c r="AH48" s="50">
        <f t="shared" si="74"/>
        <v>37106.564202861053</v>
      </c>
      <c r="AI48" s="50">
        <f t="shared" si="74"/>
        <v>39698.43655219744</v>
      </c>
      <c r="AJ48" s="50">
        <f t="shared" si="74"/>
        <v>42423.223399795519</v>
      </c>
      <c r="AK48" s="50">
        <f t="shared" ref="AK48:BL48" si="75">AJ42*AK15*onb_fee</f>
        <v>45280.385112792348</v>
      </c>
      <c r="AL48" s="50">
        <f t="shared" si="75"/>
        <v>48269.384249234419</v>
      </c>
      <c r="AM48" s="50">
        <f t="shared" si="75"/>
        <v>51389.685549182534</v>
      </c>
      <c r="AN48" s="50">
        <f t="shared" si="75"/>
        <v>54640.755925852849</v>
      </c>
      <c r="AO48" s="50">
        <f t="shared" si="75"/>
        <v>54744.428931416449</v>
      </c>
      <c r="AP48" s="50">
        <f t="shared" si="75"/>
        <v>57952.235299954889</v>
      </c>
      <c r="AQ48" s="50">
        <f t="shared" si="75"/>
        <v>61228.299224637078</v>
      </c>
      <c r="AR48" s="50">
        <f t="shared" si="75"/>
        <v>64626.531079785054</v>
      </c>
      <c r="AS48" s="50">
        <f t="shared" si="75"/>
        <v>68146.434863601142</v>
      </c>
      <c r="AT48" s="50">
        <f t="shared" si="75"/>
        <v>71841.704088054918</v>
      </c>
      <c r="AU48" s="50">
        <f t="shared" si="75"/>
        <v>75711.626769457405</v>
      </c>
      <c r="AV48" s="50">
        <f t="shared" si="75"/>
        <v>79701.306314773406</v>
      </c>
      <c r="AW48" s="50">
        <f t="shared" si="75"/>
        <v>83864.444011135434</v>
      </c>
      <c r="AX48" s="50">
        <f t="shared" si="75"/>
        <v>88200.335618450219</v>
      </c>
      <c r="AY48" s="50">
        <f t="shared" si="75"/>
        <v>92654.092255839321</v>
      </c>
      <c r="AZ48" s="50">
        <f t="shared" si="75"/>
        <v>97225.235391280614</v>
      </c>
      <c r="BA48" s="50">
        <f t="shared" si="75"/>
        <v>95867.3891158513</v>
      </c>
      <c r="BB48" s="50">
        <f t="shared" si="75"/>
        <v>100236.46751604094</v>
      </c>
      <c r="BC48" s="50">
        <f t="shared" si="75"/>
        <v>104664.30745792582</v>
      </c>
      <c r="BD48" s="50">
        <f t="shared" si="75"/>
        <v>109150.67036964664</v>
      </c>
      <c r="BE48" s="50">
        <f t="shared" si="75"/>
        <v>113746.31864794588</v>
      </c>
      <c r="BF48" s="50">
        <f t="shared" si="75"/>
        <v>118450.8085942352</v>
      </c>
      <c r="BG48" s="50">
        <f t="shared" si="75"/>
        <v>123263.69831134261</v>
      </c>
      <c r="BH48" s="50">
        <f t="shared" si="75"/>
        <v>128184.54769619856</v>
      </c>
      <c r="BI48" s="50">
        <f t="shared" si="75"/>
        <v>133212.91843255202</v>
      </c>
      <c r="BJ48" s="50">
        <f t="shared" si="75"/>
        <v>138348.37398371584</v>
      </c>
      <c r="BK48" s="50">
        <f t="shared" si="75"/>
        <v>143590.47958534193</v>
      </c>
      <c r="BL48" s="50">
        <f t="shared" si="75"/>
        <v>148938.80223822544</v>
      </c>
    </row>
    <row r="49" spans="1:64" x14ac:dyDescent="0.25">
      <c r="A49" s="44" t="s">
        <v>485</v>
      </c>
      <c r="B49" s="10" t="s">
        <v>83</v>
      </c>
      <c r="C49" s="39" t="s">
        <v>486</v>
      </c>
      <c r="E49" s="51">
        <f t="shared" ref="E49:AJ49" si="76">SUM(E46:E48)</f>
        <v>18918.196</v>
      </c>
      <c r="F49" s="51">
        <f t="shared" si="76"/>
        <v>25493.675124239999</v>
      </c>
      <c r="G49" s="51">
        <f t="shared" si="76"/>
        <v>32124.584803235586</v>
      </c>
      <c r="H49" s="51">
        <f t="shared" si="76"/>
        <v>38810.699988934452</v>
      </c>
      <c r="I49" s="51">
        <f t="shared" si="76"/>
        <v>45962.431546979373</v>
      </c>
      <c r="J49" s="51">
        <f t="shared" si="76"/>
        <v>53577.889074898638</v>
      </c>
      <c r="K49" s="51">
        <f t="shared" si="76"/>
        <v>62476.459845254547</v>
      </c>
      <c r="L49" s="51">
        <f t="shared" si="76"/>
        <v>71010.394418282813</v>
      </c>
      <c r="M49" s="51">
        <f t="shared" si="76"/>
        <v>80413.078216944588</v>
      </c>
      <c r="N49" s="51">
        <f t="shared" si="76"/>
        <v>91502.254119383782</v>
      </c>
      <c r="O49" s="51">
        <f t="shared" si="76"/>
        <v>103449.8049676591</v>
      </c>
      <c r="P49" s="51">
        <f t="shared" si="76"/>
        <v>116252.24575949041</v>
      </c>
      <c r="Q49" s="51">
        <f t="shared" si="76"/>
        <v>135354.31016749164</v>
      </c>
      <c r="R49" s="51">
        <f t="shared" si="76"/>
        <v>150464.33237821161</v>
      </c>
      <c r="S49" s="51">
        <f t="shared" si="76"/>
        <v>166796.57844875607</v>
      </c>
      <c r="T49" s="51">
        <f t="shared" si="76"/>
        <v>185201.79985025412</v>
      </c>
      <c r="U49" s="51">
        <f t="shared" si="76"/>
        <v>205671.5803028621</v>
      </c>
      <c r="V49" s="51">
        <f t="shared" si="76"/>
        <v>227341.82399683242</v>
      </c>
      <c r="W49" s="51">
        <f t="shared" si="76"/>
        <v>250207.65705140535</v>
      </c>
      <c r="X49" s="51">
        <f t="shared" si="76"/>
        <v>271697.08427377662</v>
      </c>
      <c r="Y49" s="51">
        <f t="shared" si="76"/>
        <v>293527.1212716251</v>
      </c>
      <c r="Z49" s="51">
        <f t="shared" si="76"/>
        <v>316552.09886926232</v>
      </c>
      <c r="AA49" s="51">
        <f t="shared" si="76"/>
        <v>340767.16560785309</v>
      </c>
      <c r="AB49" s="51">
        <f t="shared" si="76"/>
        <v>366167.48972548521</v>
      </c>
      <c r="AC49" s="51">
        <f t="shared" si="76"/>
        <v>409303.73256618896</v>
      </c>
      <c r="AD49" s="51">
        <f t="shared" si="76"/>
        <v>438230.16789917031</v>
      </c>
      <c r="AE49" s="51">
        <f t="shared" si="76"/>
        <v>469268.62316469965</v>
      </c>
      <c r="AF49" s="51">
        <f t="shared" si="76"/>
        <v>502410.52356185095</v>
      </c>
      <c r="AG49" s="51">
        <f t="shared" si="76"/>
        <v>538539.11360738974</v>
      </c>
      <c r="AH49" s="51">
        <f t="shared" si="76"/>
        <v>576750.48283734382</v>
      </c>
      <c r="AI49" s="51">
        <f t="shared" si="76"/>
        <v>617036.17516822414</v>
      </c>
      <c r="AJ49" s="51">
        <f t="shared" si="76"/>
        <v>659387.76884824119</v>
      </c>
      <c r="AK49" s="51">
        <f t="shared" ref="AK49:BP49" si="77">SUM(AK46:AK48)</f>
        <v>703796.87631791749</v>
      </c>
      <c r="AL49" s="51">
        <f t="shared" si="77"/>
        <v>750255.14407126675</v>
      </c>
      <c r="AM49" s="51">
        <f t="shared" si="77"/>
        <v>798754.25251753756</v>
      </c>
      <c r="AN49" s="51">
        <f t="shared" si="77"/>
        <v>849285.91584351624</v>
      </c>
      <c r="AO49" s="51">
        <f t="shared" si="77"/>
        <v>939101.93180031329</v>
      </c>
      <c r="AP49" s="51">
        <f t="shared" si="77"/>
        <v>994129.57966033206</v>
      </c>
      <c r="AQ49" s="51">
        <f t="shared" si="77"/>
        <v>1050328.1375852791</v>
      </c>
      <c r="AR49" s="51">
        <f t="shared" si="77"/>
        <v>1108622.399890451</v>
      </c>
      <c r="AS49" s="51">
        <f t="shared" si="77"/>
        <v>1169003.8580160637</v>
      </c>
      <c r="AT49" s="51">
        <f t="shared" si="77"/>
        <v>1232393.5861572465</v>
      </c>
      <c r="AU49" s="51">
        <f t="shared" si="77"/>
        <v>1298779.3707377363</v>
      </c>
      <c r="AV49" s="51">
        <f t="shared" si="77"/>
        <v>1367219.499558229</v>
      </c>
      <c r="AW49" s="51">
        <f t="shared" si="77"/>
        <v>1438635.1801912708</v>
      </c>
      <c r="AX49" s="51">
        <f t="shared" si="77"/>
        <v>1513014.3318965021</v>
      </c>
      <c r="AY49" s="51">
        <f t="shared" si="77"/>
        <v>1589415.3747712104</v>
      </c>
      <c r="AZ49" s="51">
        <f t="shared" si="77"/>
        <v>1667830.0999372471</v>
      </c>
      <c r="BA49" s="51">
        <f t="shared" si="77"/>
        <v>1821617.9567690431</v>
      </c>
      <c r="BB49" s="51">
        <f t="shared" si="77"/>
        <v>1904636.7157205297</v>
      </c>
      <c r="BC49" s="51">
        <f t="shared" si="77"/>
        <v>1988772.0282832773</v>
      </c>
      <c r="BD49" s="51">
        <f t="shared" si="77"/>
        <v>2074019.3612496241</v>
      </c>
      <c r="BE49" s="51">
        <f t="shared" si="77"/>
        <v>2161343.2729984671</v>
      </c>
      <c r="BF49" s="51">
        <f t="shared" si="77"/>
        <v>2250735.3326199502</v>
      </c>
      <c r="BG49" s="51">
        <f t="shared" si="77"/>
        <v>2342187.1434337096</v>
      </c>
      <c r="BH49" s="51">
        <f t="shared" si="77"/>
        <v>2435690.3428499056</v>
      </c>
      <c r="BI49" s="51">
        <f t="shared" si="77"/>
        <v>2531236.602230812</v>
      </c>
      <c r="BJ49" s="51">
        <f t="shared" si="77"/>
        <v>2628817.6267529717</v>
      </c>
      <c r="BK49" s="51">
        <f t="shared" si="77"/>
        <v>2728425.1552699115</v>
      </c>
      <c r="BL49" s="51">
        <f t="shared" si="77"/>
        <v>2830050.9601754122</v>
      </c>
    </row>
    <row r="50" spans="1:64" x14ac:dyDescent="0.25">
      <c r="A50" s="44" t="s">
        <v>487</v>
      </c>
      <c r="B50" s="10" t="s">
        <v>83</v>
      </c>
      <c r="C50" s="39" t="s">
        <v>488</v>
      </c>
      <c r="E50" s="51">
        <f t="shared" ref="E50:AJ50" si="78">(E46+E47)*12</f>
        <v>209396.35200000001</v>
      </c>
      <c r="F50" s="51">
        <f t="shared" si="78"/>
        <v>282177.14681087999</v>
      </c>
      <c r="G50" s="51">
        <f t="shared" si="78"/>
        <v>355571.47559482779</v>
      </c>
      <c r="H50" s="51">
        <f t="shared" si="78"/>
        <v>429576.84740391281</v>
      </c>
      <c r="I50" s="51">
        <f t="shared" si="78"/>
        <v>508735.90140345297</v>
      </c>
      <c r="J50" s="51">
        <f t="shared" si="78"/>
        <v>593027.71364375483</v>
      </c>
      <c r="K50" s="51">
        <f t="shared" si="78"/>
        <v>691521.6851263612</v>
      </c>
      <c r="L50" s="51">
        <f t="shared" si="78"/>
        <v>785979.67508474807</v>
      </c>
      <c r="M50" s="51">
        <f t="shared" si="78"/>
        <v>890053.42960390414</v>
      </c>
      <c r="N50" s="51">
        <f t="shared" si="78"/>
        <v>1012794.1486797123</v>
      </c>
      <c r="O50" s="51">
        <f t="shared" si="78"/>
        <v>1145035.8044360727</v>
      </c>
      <c r="P50" s="51">
        <f t="shared" si="78"/>
        <v>1286739.8230700623</v>
      </c>
      <c r="Q50" s="51">
        <f t="shared" si="78"/>
        <v>1509296.5157134193</v>
      </c>
      <c r="R50" s="51">
        <f t="shared" si="78"/>
        <v>1677783.9753796225</v>
      </c>
      <c r="S50" s="51">
        <f t="shared" si="78"/>
        <v>1859900.0975595815</v>
      </c>
      <c r="T50" s="51">
        <f t="shared" si="78"/>
        <v>2065131.3642834895</v>
      </c>
      <c r="U50" s="51">
        <f t="shared" si="78"/>
        <v>2293383.9280644986</v>
      </c>
      <c r="V50" s="51">
        <f t="shared" si="78"/>
        <v>2535022.5080365562</v>
      </c>
      <c r="W50" s="51">
        <f t="shared" si="78"/>
        <v>2789992.7569739283</v>
      </c>
      <c r="X50" s="51">
        <f t="shared" si="78"/>
        <v>3029615.105100614</v>
      </c>
      <c r="Y50" s="51">
        <f t="shared" si="78"/>
        <v>3273035.4936939059</v>
      </c>
      <c r="Z50" s="51">
        <f t="shared" si="78"/>
        <v>3529780.3171095089</v>
      </c>
      <c r="AA50" s="51">
        <f t="shared" si="78"/>
        <v>3799795.4781420436</v>
      </c>
      <c r="AB50" s="51">
        <f t="shared" si="78"/>
        <v>4083027.0992207872</v>
      </c>
      <c r="AC50" s="51">
        <f t="shared" si="78"/>
        <v>4595642.8658810025</v>
      </c>
      <c r="AD50" s="51">
        <f t="shared" si="78"/>
        <v>4920427.5076919263</v>
      </c>
      <c r="AE50" s="51">
        <f t="shared" si="78"/>
        <v>5268925.8089770973</v>
      </c>
      <c r="AF50" s="51">
        <f t="shared" si="78"/>
        <v>5641041.4922790499</v>
      </c>
      <c r="AG50" s="51">
        <f t="shared" si="78"/>
        <v>6046691.5850747963</v>
      </c>
      <c r="AH50" s="51">
        <f t="shared" si="78"/>
        <v>6475727.0236137938</v>
      </c>
      <c r="AI50" s="51">
        <f t="shared" si="78"/>
        <v>6928052.8633923205</v>
      </c>
      <c r="AJ50" s="51">
        <f t="shared" si="78"/>
        <v>7403574.5453813486</v>
      </c>
      <c r="AK50" s="51">
        <f t="shared" ref="AK50:BL50" si="79">(AK46+AK47)*12</f>
        <v>7902197.8944615014</v>
      </c>
      <c r="AL50" s="51">
        <f t="shared" si="79"/>
        <v>8423829.1178643871</v>
      </c>
      <c r="AM50" s="51">
        <f t="shared" si="79"/>
        <v>8968374.8036202602</v>
      </c>
      <c r="AN50" s="51">
        <f t="shared" si="79"/>
        <v>9535741.9190119617</v>
      </c>
      <c r="AO50" s="51">
        <f t="shared" si="79"/>
        <v>10612290.034426762</v>
      </c>
      <c r="AP50" s="51">
        <f t="shared" si="79"/>
        <v>11234128.132324526</v>
      </c>
      <c r="AQ50" s="51">
        <f t="shared" si="79"/>
        <v>11869198.060327705</v>
      </c>
      <c r="AR50" s="51">
        <f t="shared" si="79"/>
        <v>12527950.425727991</v>
      </c>
      <c r="AS50" s="51">
        <f t="shared" si="79"/>
        <v>13210289.077829551</v>
      </c>
      <c r="AT50" s="51">
        <f t="shared" si="79"/>
        <v>13926622.584830299</v>
      </c>
      <c r="AU50" s="51">
        <f t="shared" si="79"/>
        <v>14676812.927619345</v>
      </c>
      <c r="AV50" s="51">
        <f t="shared" si="79"/>
        <v>15450218.318921467</v>
      </c>
      <c r="AW50" s="51">
        <f t="shared" si="79"/>
        <v>16257248.834161624</v>
      </c>
      <c r="AX50" s="51">
        <f t="shared" si="79"/>
        <v>17097767.955336623</v>
      </c>
      <c r="AY50" s="51">
        <f t="shared" si="79"/>
        <v>17961135.390184451</v>
      </c>
      <c r="AZ50" s="51">
        <f t="shared" si="79"/>
        <v>18847258.374551598</v>
      </c>
      <c r="BA50" s="51">
        <f t="shared" si="79"/>
        <v>20709006.811838299</v>
      </c>
      <c r="BB50" s="51">
        <f t="shared" si="79"/>
        <v>21652802.978453867</v>
      </c>
      <c r="BC50" s="51">
        <f t="shared" si="79"/>
        <v>22609292.649904218</v>
      </c>
      <c r="BD50" s="51">
        <f t="shared" si="79"/>
        <v>23578424.290559728</v>
      </c>
      <c r="BE50" s="51">
        <f t="shared" si="79"/>
        <v>24571163.452206254</v>
      </c>
      <c r="BF50" s="51">
        <f t="shared" si="79"/>
        <v>25587414.288308579</v>
      </c>
      <c r="BG50" s="51">
        <f t="shared" si="79"/>
        <v>26627081.341468409</v>
      </c>
      <c r="BH50" s="51">
        <f t="shared" si="79"/>
        <v>27690069.541844487</v>
      </c>
      <c r="BI50" s="51">
        <f t="shared" si="79"/>
        <v>28776284.205579121</v>
      </c>
      <c r="BJ50" s="51">
        <f t="shared" si="79"/>
        <v>29885631.033231072</v>
      </c>
      <c r="BK50" s="51">
        <f t="shared" si="79"/>
        <v>31018016.108214833</v>
      </c>
      <c r="BL50" s="51">
        <f t="shared" si="79"/>
        <v>32173345.895246241</v>
      </c>
    </row>
    <row r="51" spans="1:64" x14ac:dyDescent="0.25">
      <c r="A51" s="19" t="s">
        <v>241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</row>
    <row r="52" spans="1:64" x14ac:dyDescent="0.25">
      <c r="A52" s="8" t="s">
        <v>489</v>
      </c>
      <c r="B52" s="10" t="s">
        <v>83</v>
      </c>
      <c r="E52" s="50">
        <f t="shared" ref="E52:AJ52" si="80">D42*hosting_cg</f>
        <v>1076.9000000000001</v>
      </c>
      <c r="F52" s="50">
        <f t="shared" si="80"/>
        <v>1451.2027860000001</v>
      </c>
      <c r="G52" s="50">
        <f t="shared" si="80"/>
        <v>1828.66090268884</v>
      </c>
      <c r="H52" s="50">
        <f t="shared" si="80"/>
        <v>2209.2615394239233</v>
      </c>
      <c r="I52" s="50">
        <f t="shared" si="80"/>
        <v>2616.3669375738623</v>
      </c>
      <c r="J52" s="50">
        <f t="shared" si="80"/>
        <v>3049.869487807312</v>
      </c>
      <c r="K52" s="50">
        <f t="shared" si="80"/>
        <v>3556.4120176868141</v>
      </c>
      <c r="L52" s="50">
        <f t="shared" si="80"/>
        <v>4042.1979848950059</v>
      </c>
      <c r="M52" s="50">
        <f t="shared" si="80"/>
        <v>4577.4366610763327</v>
      </c>
      <c r="N52" s="50">
        <f t="shared" si="80"/>
        <v>5208.6772682323626</v>
      </c>
      <c r="O52" s="50">
        <f t="shared" si="80"/>
        <v>5888.7800385233395</v>
      </c>
      <c r="P52" s="50">
        <f t="shared" si="80"/>
        <v>6617.5465915669347</v>
      </c>
      <c r="Q52" s="50">
        <f t="shared" si="80"/>
        <v>7394.7793524051722</v>
      </c>
      <c r="R52" s="50">
        <f t="shared" si="80"/>
        <v>8220.2815482344085</v>
      </c>
      <c r="S52" s="50">
        <f t="shared" si="80"/>
        <v>9112.557205148576</v>
      </c>
      <c r="T52" s="50">
        <f t="shared" si="80"/>
        <v>10118.085222895672</v>
      </c>
      <c r="U52" s="50">
        <f t="shared" si="80"/>
        <v>11236.405796890715</v>
      </c>
      <c r="V52" s="50">
        <f t="shared" si="80"/>
        <v>12420.310989355339</v>
      </c>
      <c r="W52" s="50">
        <f t="shared" si="80"/>
        <v>13669.534526738558</v>
      </c>
      <c r="X52" s="50">
        <f t="shared" si="80"/>
        <v>14843.56121656</v>
      </c>
      <c r="Y52" s="50">
        <f t="shared" si="80"/>
        <v>16036.196358020767</v>
      </c>
      <c r="Z52" s="50">
        <f t="shared" si="80"/>
        <v>17294.114400807201</v>
      </c>
      <c r="AA52" s="50">
        <f t="shared" si="80"/>
        <v>18617.050296339923</v>
      </c>
      <c r="AB52" s="50">
        <f t="shared" si="80"/>
        <v>20004.740072136781</v>
      </c>
      <c r="AC52" s="50">
        <f t="shared" si="80"/>
        <v>21456.920827443904</v>
      </c>
      <c r="AD52" s="50">
        <f t="shared" si="80"/>
        <v>22973.330728884484</v>
      </c>
      <c r="AE52" s="50">
        <f t="shared" si="80"/>
        <v>24600.459006125213</v>
      </c>
      <c r="AF52" s="50">
        <f t="shared" si="80"/>
        <v>26337.856142560344</v>
      </c>
      <c r="AG52" s="50">
        <f t="shared" si="80"/>
        <v>28231.824446621547</v>
      </c>
      <c r="AH52" s="50">
        <f t="shared" si="80"/>
        <v>30234.978239368262</v>
      </c>
      <c r="AI52" s="50">
        <f t="shared" si="80"/>
        <v>32346.874227716427</v>
      </c>
      <c r="AJ52" s="50">
        <f t="shared" si="80"/>
        <v>34567.070918351899</v>
      </c>
      <c r="AK52" s="50">
        <f t="shared" ref="AK52:BL52" si="81">AJ42*hosting_cg</f>
        <v>36895.128610423395</v>
      </c>
      <c r="AL52" s="50">
        <f t="shared" si="81"/>
        <v>39330.609388265082</v>
      </c>
      <c r="AM52" s="50">
        <f t="shared" si="81"/>
        <v>41873.077114148728</v>
      </c>
      <c r="AN52" s="50">
        <f t="shared" si="81"/>
        <v>44522.097421065278</v>
      </c>
      <c r="AO52" s="50">
        <f t="shared" si="81"/>
        <v>47230.487705535757</v>
      </c>
      <c r="AP52" s="50">
        <f t="shared" si="81"/>
        <v>49998.006925451278</v>
      </c>
      <c r="AQ52" s="50">
        <f t="shared" si="81"/>
        <v>52824.415017333951</v>
      </c>
      <c r="AR52" s="50">
        <f t="shared" si="81"/>
        <v>55756.222892363578</v>
      </c>
      <c r="AS52" s="50">
        <f t="shared" si="81"/>
        <v>58793.002627420581</v>
      </c>
      <c r="AT52" s="50">
        <f t="shared" si="81"/>
        <v>61981.07803675325</v>
      </c>
      <c r="AU52" s="50">
        <f t="shared" si="81"/>
        <v>65319.834859924042</v>
      </c>
      <c r="AV52" s="50">
        <f t="shared" si="81"/>
        <v>68761.911330392759</v>
      </c>
      <c r="AW52" s="50">
        <f t="shared" si="81"/>
        <v>72353.637970391355</v>
      </c>
      <c r="AX52" s="50">
        <f t="shared" si="81"/>
        <v>76094.407200231566</v>
      </c>
      <c r="AY52" s="50">
        <f t="shared" si="81"/>
        <v>79936.863906998624</v>
      </c>
      <c r="AZ52" s="50">
        <f t="shared" si="81"/>
        <v>83880.595239536211</v>
      </c>
      <c r="BA52" s="50">
        <f t="shared" si="81"/>
        <v>87878.440022863695</v>
      </c>
      <c r="BB52" s="50">
        <f t="shared" si="81"/>
        <v>91883.428556370869</v>
      </c>
      <c r="BC52" s="50">
        <f t="shared" si="81"/>
        <v>95942.281836432012</v>
      </c>
      <c r="BD52" s="50">
        <f t="shared" si="81"/>
        <v>100054.7811721761</v>
      </c>
      <c r="BE52" s="50">
        <f t="shared" si="81"/>
        <v>104267.45876061705</v>
      </c>
      <c r="BF52" s="50">
        <f t="shared" si="81"/>
        <v>108579.90787804895</v>
      </c>
      <c r="BG52" s="50">
        <f t="shared" si="81"/>
        <v>112991.72345206406</v>
      </c>
      <c r="BH52" s="50">
        <f t="shared" si="81"/>
        <v>117502.50205484868</v>
      </c>
      <c r="BI52" s="50">
        <f t="shared" si="81"/>
        <v>122111.841896506</v>
      </c>
      <c r="BJ52" s="50">
        <f t="shared" si="81"/>
        <v>126819.34281840618</v>
      </c>
      <c r="BK52" s="50">
        <f t="shared" si="81"/>
        <v>131624.60628656344</v>
      </c>
      <c r="BL52" s="50">
        <f t="shared" si="81"/>
        <v>136527.23538504</v>
      </c>
    </row>
    <row r="53" spans="1:64" x14ac:dyDescent="0.25">
      <c r="A53" s="8" t="s">
        <v>490</v>
      </c>
      <c r="B53" s="10" t="s">
        <v>83</v>
      </c>
      <c r="E53" s="50">
        <f t="shared" ref="E53:AJ53" si="82">E45*msg_shift</f>
        <v>855.25439999999992</v>
      </c>
      <c r="F53" s="50">
        <f t="shared" si="82"/>
        <v>1152.5188671359999</v>
      </c>
      <c r="G53" s="50">
        <f t="shared" si="82"/>
        <v>1452.289240535428</v>
      </c>
      <c r="H53" s="50">
        <f t="shared" si="82"/>
        <v>1754.5553462188539</v>
      </c>
      <c r="I53" s="50">
        <f t="shared" si="82"/>
        <v>2077.8710515132057</v>
      </c>
      <c r="J53" s="50">
        <f t="shared" si="82"/>
        <v>2422.1508950440616</v>
      </c>
      <c r="K53" s="50">
        <f t="shared" si="82"/>
        <v>2824.437762410183</v>
      </c>
      <c r="L53" s="50">
        <f t="shared" si="82"/>
        <v>3210.2401450947978</v>
      </c>
      <c r="M53" s="50">
        <f t="shared" si="82"/>
        <v>3635.3169701057132</v>
      </c>
      <c r="N53" s="50">
        <f t="shared" si="82"/>
        <v>4136.6367832070837</v>
      </c>
      <c r="O53" s="50">
        <f t="shared" si="82"/>
        <v>4676.7620378672636</v>
      </c>
      <c r="P53" s="50">
        <f t="shared" si="82"/>
        <v>5255.535183993522</v>
      </c>
      <c r="Q53" s="50">
        <f t="shared" si="82"/>
        <v>6098.6762077290659</v>
      </c>
      <c r="R53" s="50">
        <f t="shared" si="82"/>
        <v>6779.4903823256864</v>
      </c>
      <c r="S53" s="50">
        <f t="shared" si="82"/>
        <v>7515.3744513734437</v>
      </c>
      <c r="T53" s="50">
        <f t="shared" si="82"/>
        <v>8344.6608311008677</v>
      </c>
      <c r="U53" s="50">
        <f t="shared" si="82"/>
        <v>9266.970308126598</v>
      </c>
      <c r="V53" s="50">
        <f t="shared" si="82"/>
        <v>10243.369208675604</v>
      </c>
      <c r="W53" s="50">
        <f t="shared" si="82"/>
        <v>11273.637929688381</v>
      </c>
      <c r="X53" s="50">
        <f t="shared" si="82"/>
        <v>12241.889759693846</v>
      </c>
      <c r="Y53" s="50">
        <f t="shared" si="82"/>
        <v>13225.488487269489</v>
      </c>
      <c r="Z53" s="50">
        <f t="shared" si="82"/>
        <v>14262.927804011177</v>
      </c>
      <c r="AA53" s="50">
        <f t="shared" si="82"/>
        <v>15353.98911712689</v>
      </c>
      <c r="AB53" s="50">
        <f t="shared" si="82"/>
        <v>16498.454721311355</v>
      </c>
      <c r="AC53" s="50">
        <f t="shared" si="82"/>
        <v>18351.519194962933</v>
      </c>
      <c r="AD53" s="50">
        <f t="shared" si="82"/>
        <v>19648.463227031389</v>
      </c>
      <c r="AE53" s="50">
        <f t="shared" si="82"/>
        <v>21040.101666329636</v>
      </c>
      <c r="AF53" s="50">
        <f t="shared" si="82"/>
        <v>22526.050053564337</v>
      </c>
      <c r="AG53" s="50">
        <f t="shared" si="82"/>
        <v>24145.909490346865</v>
      </c>
      <c r="AH53" s="50">
        <f t="shared" si="82"/>
        <v>25859.152297816057</v>
      </c>
      <c r="AI53" s="50">
        <f t="shared" si="82"/>
        <v>27665.399339486921</v>
      </c>
      <c r="AJ53" s="50">
        <f t="shared" si="82"/>
        <v>29564.273018168609</v>
      </c>
      <c r="AK53" s="50">
        <f t="shared" ref="AK53:BL53" si="83">AK45*msg_shift</f>
        <v>31555.397269714846</v>
      </c>
      <c r="AL53" s="50">
        <f t="shared" si="83"/>
        <v>33638.397556799806</v>
      </c>
      <c r="AM53" s="50">
        <f t="shared" si="83"/>
        <v>35812.900862719202</v>
      </c>
      <c r="AN53" s="50">
        <f t="shared" si="83"/>
        <v>38078.535685216564</v>
      </c>
      <c r="AO53" s="50">
        <f t="shared" si="83"/>
        <v>41837.624745703673</v>
      </c>
      <c r="AP53" s="50">
        <f t="shared" si="83"/>
        <v>44289.143589236126</v>
      </c>
      <c r="AQ53" s="50">
        <f t="shared" si="83"/>
        <v>46792.827266263826</v>
      </c>
      <c r="AR53" s="50">
        <f t="shared" si="83"/>
        <v>49389.875987562795</v>
      </c>
      <c r="AS53" s="50">
        <f t="shared" si="83"/>
        <v>52079.910691053294</v>
      </c>
      <c r="AT53" s="50">
        <f t="shared" si="83"/>
        <v>54903.965853647613</v>
      </c>
      <c r="AU53" s="50">
        <f t="shared" si="83"/>
        <v>57861.497352281804</v>
      </c>
      <c r="AV53" s="50">
        <f t="shared" si="83"/>
        <v>60910.551273031546</v>
      </c>
      <c r="AW53" s="50">
        <f t="shared" si="83"/>
        <v>64092.168034863047</v>
      </c>
      <c r="AX53" s="50">
        <f t="shared" si="83"/>
        <v>67405.809432641501</v>
      </c>
      <c r="AY53" s="50">
        <f t="shared" si="83"/>
        <v>70809.527446344975</v>
      </c>
      <c r="AZ53" s="50">
        <f t="shared" si="83"/>
        <v>74302.95636491281</v>
      </c>
      <c r="BA53" s="50">
        <f t="shared" si="83"/>
        <v>80528.606857315084</v>
      </c>
      <c r="BB53" s="50">
        <f t="shared" si="83"/>
        <v>84198.632713474391</v>
      </c>
      <c r="BC53" s="50">
        <f t="shared" si="83"/>
        <v>87918.018264657701</v>
      </c>
      <c r="BD53" s="50">
        <f t="shared" si="83"/>
        <v>91686.563110503179</v>
      </c>
      <c r="BE53" s="50">
        <f t="shared" si="83"/>
        <v>95546.907664274535</v>
      </c>
      <c r="BF53" s="50">
        <f t="shared" si="83"/>
        <v>99498.679219157581</v>
      </c>
      <c r="BG53" s="50">
        <f t="shared" si="83"/>
        <v>103541.50658152779</v>
      </c>
      <c r="BH53" s="50">
        <f t="shared" si="83"/>
        <v>107675.0200648068</v>
      </c>
      <c r="BI53" s="50">
        <f t="shared" si="83"/>
        <v>111898.85148334368</v>
      </c>
      <c r="BJ53" s="50">
        <f t="shared" si="83"/>
        <v>116212.6341463213</v>
      </c>
      <c r="BK53" s="50">
        <f t="shared" si="83"/>
        <v>120616.00285168723</v>
      </c>
      <c r="BL53" s="50">
        <f t="shared" si="83"/>
        <v>125108.59388010939</v>
      </c>
    </row>
    <row r="54" spans="1:64" x14ac:dyDescent="0.25">
      <c r="A54" s="8" t="s">
        <v>491</v>
      </c>
      <c r="B54" s="10" t="s">
        <v>83</v>
      </c>
      <c r="E54" s="50">
        <f t="shared" ref="E54:AJ54" si="84">E49*pay_proc_pct</f>
        <v>283.77294000000001</v>
      </c>
      <c r="F54" s="50">
        <f t="shared" si="84"/>
        <v>382.40512686359995</v>
      </c>
      <c r="G54" s="50">
        <f t="shared" si="84"/>
        <v>481.8687720485338</v>
      </c>
      <c r="H54" s="50">
        <f t="shared" si="84"/>
        <v>582.16049983401672</v>
      </c>
      <c r="I54" s="50">
        <f t="shared" si="84"/>
        <v>689.43647320469051</v>
      </c>
      <c r="J54" s="50">
        <f t="shared" si="84"/>
        <v>803.66833612347955</v>
      </c>
      <c r="K54" s="50">
        <f t="shared" si="84"/>
        <v>937.14689767881816</v>
      </c>
      <c r="L54" s="50">
        <f t="shared" si="84"/>
        <v>1065.1559162742421</v>
      </c>
      <c r="M54" s="50">
        <f t="shared" si="84"/>
        <v>1206.1961732541688</v>
      </c>
      <c r="N54" s="50">
        <f t="shared" si="84"/>
        <v>1372.5338117907568</v>
      </c>
      <c r="O54" s="50">
        <f t="shared" si="84"/>
        <v>1551.7470745148864</v>
      </c>
      <c r="P54" s="50">
        <f t="shared" si="84"/>
        <v>1743.783686392356</v>
      </c>
      <c r="Q54" s="50">
        <f t="shared" si="84"/>
        <v>2030.3146525123746</v>
      </c>
      <c r="R54" s="50">
        <f t="shared" si="84"/>
        <v>2256.9649856731739</v>
      </c>
      <c r="S54" s="50">
        <f t="shared" si="84"/>
        <v>2501.948676731341</v>
      </c>
      <c r="T54" s="50">
        <f t="shared" si="84"/>
        <v>2778.0269977538114</v>
      </c>
      <c r="U54" s="50">
        <f t="shared" si="84"/>
        <v>3085.0737045429314</v>
      </c>
      <c r="V54" s="50">
        <f t="shared" si="84"/>
        <v>3410.1273599524861</v>
      </c>
      <c r="W54" s="50">
        <f t="shared" si="84"/>
        <v>3753.1148557710799</v>
      </c>
      <c r="X54" s="50">
        <f t="shared" si="84"/>
        <v>4075.4562641066491</v>
      </c>
      <c r="Y54" s="50">
        <f t="shared" si="84"/>
        <v>4402.9068190743765</v>
      </c>
      <c r="Z54" s="50">
        <f t="shared" si="84"/>
        <v>4748.2814830389343</v>
      </c>
      <c r="AA54" s="50">
        <f t="shared" si="84"/>
        <v>5111.5074841177966</v>
      </c>
      <c r="AB54" s="50">
        <f t="shared" si="84"/>
        <v>5492.5123458822782</v>
      </c>
      <c r="AC54" s="50">
        <f t="shared" si="84"/>
        <v>6139.5559884928343</v>
      </c>
      <c r="AD54" s="50">
        <f t="shared" si="84"/>
        <v>6573.4525184875547</v>
      </c>
      <c r="AE54" s="50">
        <f t="shared" si="84"/>
        <v>7039.029347470494</v>
      </c>
      <c r="AF54" s="50">
        <f t="shared" si="84"/>
        <v>7536.1578534277642</v>
      </c>
      <c r="AG54" s="50">
        <f t="shared" si="84"/>
        <v>8078.0867041108459</v>
      </c>
      <c r="AH54" s="50">
        <f t="shared" si="84"/>
        <v>8651.2572425601575</v>
      </c>
      <c r="AI54" s="50">
        <f t="shared" si="84"/>
        <v>9255.5426275233622</v>
      </c>
      <c r="AJ54" s="50">
        <f t="shared" si="84"/>
        <v>9890.8165327236184</v>
      </c>
      <c r="AK54" s="50">
        <f t="shared" ref="AK54:BL54" si="85">AK49*pay_proc_pct</f>
        <v>10556.953144768762</v>
      </c>
      <c r="AL54" s="50">
        <f t="shared" si="85"/>
        <v>11253.827161069001</v>
      </c>
      <c r="AM54" s="50">
        <f t="shared" si="85"/>
        <v>11981.313787763063</v>
      </c>
      <c r="AN54" s="50">
        <f t="shared" si="85"/>
        <v>12739.288737652743</v>
      </c>
      <c r="AO54" s="50">
        <f t="shared" si="85"/>
        <v>14086.528977004698</v>
      </c>
      <c r="AP54" s="50">
        <f t="shared" si="85"/>
        <v>14911.94369490498</v>
      </c>
      <c r="AQ54" s="50">
        <f t="shared" si="85"/>
        <v>15754.922063779186</v>
      </c>
      <c r="AR54" s="50">
        <f t="shared" si="85"/>
        <v>16629.335998356764</v>
      </c>
      <c r="AS54" s="50">
        <f t="shared" si="85"/>
        <v>17535.057870240955</v>
      </c>
      <c r="AT54" s="50">
        <f t="shared" si="85"/>
        <v>18485.903792358698</v>
      </c>
      <c r="AU54" s="50">
        <f t="shared" si="85"/>
        <v>19481.690561066043</v>
      </c>
      <c r="AV54" s="50">
        <f t="shared" si="85"/>
        <v>20508.292493373436</v>
      </c>
      <c r="AW54" s="50">
        <f t="shared" si="85"/>
        <v>21579.527702869062</v>
      </c>
      <c r="AX54" s="50">
        <f t="shared" si="85"/>
        <v>22695.21497844753</v>
      </c>
      <c r="AY54" s="50">
        <f t="shared" si="85"/>
        <v>23841.230621568153</v>
      </c>
      <c r="AZ54" s="50">
        <f t="shared" si="85"/>
        <v>25017.451499058705</v>
      </c>
      <c r="BA54" s="50">
        <f t="shared" si="85"/>
        <v>27324.269351535644</v>
      </c>
      <c r="BB54" s="50">
        <f t="shared" si="85"/>
        <v>28569.550735807945</v>
      </c>
      <c r="BC54" s="50">
        <f t="shared" si="85"/>
        <v>29831.580424249158</v>
      </c>
      <c r="BD54" s="50">
        <f t="shared" si="85"/>
        <v>31110.29041874436</v>
      </c>
      <c r="BE54" s="50">
        <f t="shared" si="85"/>
        <v>32420.149094977005</v>
      </c>
      <c r="BF54" s="50">
        <f t="shared" si="85"/>
        <v>33761.029989299248</v>
      </c>
      <c r="BG54" s="50">
        <f t="shared" si="85"/>
        <v>35132.807151505644</v>
      </c>
      <c r="BH54" s="50">
        <f t="shared" si="85"/>
        <v>36535.35514274858</v>
      </c>
      <c r="BI54" s="50">
        <f t="shared" si="85"/>
        <v>37968.549033462179</v>
      </c>
      <c r="BJ54" s="50">
        <f t="shared" si="85"/>
        <v>39432.264401294575</v>
      </c>
      <c r="BK54" s="50">
        <f t="shared" si="85"/>
        <v>40926.377329048672</v>
      </c>
      <c r="BL54" s="50">
        <f t="shared" si="85"/>
        <v>42450.764402631183</v>
      </c>
    </row>
    <row r="55" spans="1:64" x14ac:dyDescent="0.25">
      <c r="A55" s="8" t="s">
        <v>492</v>
      </c>
      <c r="B55" s="10" t="s">
        <v>83</v>
      </c>
      <c r="E55" s="50">
        <f t="shared" ref="E55:AJ55" si="86">D40*support_ag</f>
        <v>198</v>
      </c>
      <c r="F55" s="50">
        <f t="shared" si="86"/>
        <v>268.92</v>
      </c>
      <c r="G55" s="50">
        <f t="shared" si="86"/>
        <v>340.0308</v>
      </c>
      <c r="H55" s="50">
        <f t="shared" si="86"/>
        <v>411.33049200000005</v>
      </c>
      <c r="I55" s="50">
        <f t="shared" si="86"/>
        <v>487.31718708000005</v>
      </c>
      <c r="J55" s="50">
        <f t="shared" si="86"/>
        <v>567.94401520920007</v>
      </c>
      <c r="K55" s="50">
        <f t="shared" si="86"/>
        <v>662.16457505710798</v>
      </c>
      <c r="L55" s="50">
        <f t="shared" si="86"/>
        <v>751.84292930653692</v>
      </c>
      <c r="M55" s="50">
        <f t="shared" si="86"/>
        <v>850.52450001347154</v>
      </c>
      <c r="N55" s="50">
        <f t="shared" si="86"/>
        <v>967.1192550133369</v>
      </c>
      <c r="O55" s="50">
        <f t="shared" si="86"/>
        <v>1092.4480624632035</v>
      </c>
      <c r="P55" s="50">
        <f t="shared" si="86"/>
        <v>1226.4235818385714</v>
      </c>
      <c r="Q55" s="50">
        <f t="shared" si="86"/>
        <v>1368.9593460201856</v>
      </c>
      <c r="R55" s="50">
        <f t="shared" si="86"/>
        <v>1519.9697525599838</v>
      </c>
      <c r="S55" s="50">
        <f t="shared" si="86"/>
        <v>1682.9700550343841</v>
      </c>
      <c r="T55" s="50">
        <f t="shared" si="86"/>
        <v>1866.8403544840405</v>
      </c>
      <c r="U55" s="50">
        <f t="shared" si="86"/>
        <v>2071.3719509392004</v>
      </c>
      <c r="V55" s="50">
        <f t="shared" si="86"/>
        <v>2287.3582314298083</v>
      </c>
      <c r="W55" s="50">
        <f t="shared" si="86"/>
        <v>2514.6846491155102</v>
      </c>
      <c r="X55" s="50">
        <f t="shared" si="86"/>
        <v>2726.2378026243555</v>
      </c>
      <c r="Y55" s="50">
        <f t="shared" si="86"/>
        <v>2940.1754245981119</v>
      </c>
      <c r="Z55" s="50">
        <f t="shared" si="86"/>
        <v>3165.4736703521307</v>
      </c>
      <c r="AA55" s="50">
        <f t="shared" si="86"/>
        <v>3402.0189336486092</v>
      </c>
      <c r="AB55" s="50">
        <f t="shared" si="86"/>
        <v>3649.6987443121234</v>
      </c>
      <c r="AC55" s="50">
        <f t="shared" si="86"/>
        <v>3908.4017568690019</v>
      </c>
      <c r="AD55" s="50">
        <f t="shared" si="86"/>
        <v>4178.0177393003114</v>
      </c>
      <c r="AE55" s="50">
        <f t="shared" si="86"/>
        <v>4467.4375619073089</v>
      </c>
      <c r="AF55" s="50">
        <f t="shared" si="86"/>
        <v>4776.4631862882352</v>
      </c>
      <c r="AG55" s="50">
        <f t="shared" si="86"/>
        <v>5113.8985544253528</v>
      </c>
      <c r="AH55" s="50">
        <f t="shared" si="86"/>
        <v>5470.4595688810987</v>
      </c>
      <c r="AI55" s="50">
        <f t="shared" si="86"/>
        <v>5845.9549731922862</v>
      </c>
      <c r="AJ55" s="50">
        <f t="shared" si="86"/>
        <v>6240.1954234603645</v>
      </c>
      <c r="AK55" s="50">
        <f t="shared" ref="AK55:BL55" si="87">AJ40*support_ag</f>
        <v>6652.9934692257593</v>
      </c>
      <c r="AL55" s="50">
        <f t="shared" si="87"/>
        <v>7084.1635345335017</v>
      </c>
      <c r="AM55" s="50">
        <f t="shared" si="87"/>
        <v>7533.5218991881657</v>
      </c>
      <c r="AN55" s="50">
        <f t="shared" si="87"/>
        <v>8000.8866801962831</v>
      </c>
      <c r="AO55" s="50">
        <f t="shared" si="87"/>
        <v>8477.0778133943204</v>
      </c>
      <c r="AP55" s="50">
        <f t="shared" si="87"/>
        <v>8962.007035260378</v>
      </c>
      <c r="AQ55" s="50">
        <f t="shared" si="87"/>
        <v>9455.5869649077722</v>
      </c>
      <c r="AR55" s="50">
        <f t="shared" si="87"/>
        <v>9966.731095258694</v>
      </c>
      <c r="AS55" s="50">
        <f t="shared" si="87"/>
        <v>10495.263784306107</v>
      </c>
      <c r="AT55" s="50">
        <f t="shared" si="87"/>
        <v>11050.011146463044</v>
      </c>
      <c r="AU55" s="50">
        <f t="shared" si="87"/>
        <v>11630.711034998414</v>
      </c>
      <c r="AV55" s="50">
        <f t="shared" si="87"/>
        <v>12228.103924648429</v>
      </c>
      <c r="AW55" s="50">
        <f t="shared" si="87"/>
        <v>12851.022885401944</v>
      </c>
      <c r="AX55" s="50">
        <f t="shared" si="87"/>
        <v>13499.212656547925</v>
      </c>
      <c r="AY55" s="50">
        <f t="shared" si="87"/>
        <v>14163.420529982446</v>
      </c>
      <c r="AZ55" s="50">
        <f t="shared" si="87"/>
        <v>14843.486324682621</v>
      </c>
      <c r="BA55" s="50">
        <f t="shared" si="87"/>
        <v>15530.251461435793</v>
      </c>
      <c r="BB55" s="50">
        <f t="shared" si="87"/>
        <v>16214.648946821433</v>
      </c>
      <c r="BC55" s="50">
        <f t="shared" si="87"/>
        <v>16905.702457353218</v>
      </c>
      <c r="BD55" s="50">
        <f t="shared" si="87"/>
        <v>17603.345432779686</v>
      </c>
      <c r="BE55" s="50">
        <f t="shared" si="87"/>
        <v>18316.51197845189</v>
      </c>
      <c r="BF55" s="50">
        <f t="shared" si="87"/>
        <v>19045.046858667374</v>
      </c>
      <c r="BG55" s="50">
        <f t="shared" si="87"/>
        <v>19788.796390080694</v>
      </c>
      <c r="BH55" s="50">
        <f t="shared" si="87"/>
        <v>20547.608426179886</v>
      </c>
      <c r="BI55" s="50">
        <f t="shared" si="87"/>
        <v>21321.332341918089</v>
      </c>
      <c r="BJ55" s="50">
        <f t="shared" si="87"/>
        <v>22109.819018498907</v>
      </c>
      <c r="BK55" s="50">
        <f t="shared" si="87"/>
        <v>22912.92082831392</v>
      </c>
      <c r="BL55" s="50">
        <f t="shared" si="87"/>
        <v>23730.491620030782</v>
      </c>
    </row>
    <row r="56" spans="1:64" x14ac:dyDescent="0.25">
      <c r="A56" s="8" t="s">
        <v>493</v>
      </c>
      <c r="B56" s="10" t="s">
        <v>83</v>
      </c>
      <c r="E56" s="50">
        <f t="shared" ref="E56:AJ56" si="88">E21*sal_cs*(1+raise_pct)^E9*(1+oncost_pct)/12</f>
        <v>8000</v>
      </c>
      <c r="F56" s="50">
        <f t="shared" si="88"/>
        <v>8000</v>
      </c>
      <c r="G56" s="50">
        <f t="shared" si="88"/>
        <v>8000</v>
      </c>
      <c r="H56" s="50">
        <f t="shared" si="88"/>
        <v>8000</v>
      </c>
      <c r="I56" s="50">
        <f t="shared" si="88"/>
        <v>8000</v>
      </c>
      <c r="J56" s="50">
        <f t="shared" si="88"/>
        <v>16000</v>
      </c>
      <c r="K56" s="50">
        <f t="shared" si="88"/>
        <v>16000</v>
      </c>
      <c r="L56" s="50">
        <f t="shared" si="88"/>
        <v>16000</v>
      </c>
      <c r="M56" s="50">
        <f t="shared" si="88"/>
        <v>16000</v>
      </c>
      <c r="N56" s="50">
        <f t="shared" si="88"/>
        <v>16000</v>
      </c>
      <c r="O56" s="50">
        <f t="shared" si="88"/>
        <v>24000</v>
      </c>
      <c r="P56" s="50">
        <f t="shared" si="88"/>
        <v>24000</v>
      </c>
      <c r="Q56" s="50">
        <f t="shared" si="88"/>
        <v>24720</v>
      </c>
      <c r="R56" s="50">
        <f t="shared" si="88"/>
        <v>24720</v>
      </c>
      <c r="S56" s="50">
        <f t="shared" si="88"/>
        <v>24720</v>
      </c>
      <c r="T56" s="50">
        <f t="shared" si="88"/>
        <v>24720</v>
      </c>
      <c r="U56" s="50">
        <f t="shared" si="88"/>
        <v>32960</v>
      </c>
      <c r="V56" s="50">
        <f t="shared" si="88"/>
        <v>32960</v>
      </c>
      <c r="W56" s="50">
        <f t="shared" si="88"/>
        <v>32960</v>
      </c>
      <c r="X56" s="50">
        <f t="shared" si="88"/>
        <v>32960</v>
      </c>
      <c r="Y56" s="50">
        <f t="shared" si="88"/>
        <v>32960</v>
      </c>
      <c r="Z56" s="50">
        <f t="shared" si="88"/>
        <v>41200</v>
      </c>
      <c r="AA56" s="50">
        <f t="shared" si="88"/>
        <v>41200</v>
      </c>
      <c r="AB56" s="50">
        <f t="shared" si="88"/>
        <v>41200</v>
      </c>
      <c r="AC56" s="50">
        <f t="shared" si="88"/>
        <v>42436</v>
      </c>
      <c r="AD56" s="50">
        <f t="shared" si="88"/>
        <v>42436</v>
      </c>
      <c r="AE56" s="50">
        <f t="shared" si="88"/>
        <v>50923.200000000004</v>
      </c>
      <c r="AF56" s="50">
        <f t="shared" si="88"/>
        <v>50923.200000000004</v>
      </c>
      <c r="AG56" s="50">
        <f t="shared" si="88"/>
        <v>50923.200000000004</v>
      </c>
      <c r="AH56" s="50">
        <f t="shared" si="88"/>
        <v>59410.399999999994</v>
      </c>
      <c r="AI56" s="50">
        <f t="shared" si="88"/>
        <v>59410.399999999994</v>
      </c>
      <c r="AJ56" s="50">
        <f t="shared" si="88"/>
        <v>59410.399999999994</v>
      </c>
      <c r="AK56" s="50">
        <f t="shared" ref="AK56:BL56" si="89">AK21*sal_cs*(1+raise_pct)^AK9*(1+oncost_pct)/12</f>
        <v>67897.599999999991</v>
      </c>
      <c r="AL56" s="50">
        <f t="shared" si="89"/>
        <v>67897.599999999991</v>
      </c>
      <c r="AM56" s="50">
        <f t="shared" si="89"/>
        <v>67897.599999999991</v>
      </c>
      <c r="AN56" s="50">
        <f t="shared" si="89"/>
        <v>76384.800000000003</v>
      </c>
      <c r="AO56" s="50">
        <f t="shared" si="89"/>
        <v>78676.343999999997</v>
      </c>
      <c r="AP56" s="50">
        <f t="shared" si="89"/>
        <v>87418.159999999989</v>
      </c>
      <c r="AQ56" s="50">
        <f t="shared" si="89"/>
        <v>87418.159999999989</v>
      </c>
      <c r="AR56" s="50">
        <f t="shared" si="89"/>
        <v>96159.97600000001</v>
      </c>
      <c r="AS56" s="50">
        <f t="shared" si="89"/>
        <v>96159.97600000001</v>
      </c>
      <c r="AT56" s="50">
        <f t="shared" si="89"/>
        <v>104901.792</v>
      </c>
      <c r="AU56" s="50">
        <f t="shared" si="89"/>
        <v>104901.792</v>
      </c>
      <c r="AV56" s="50">
        <f t="shared" si="89"/>
        <v>113643.60800000001</v>
      </c>
      <c r="AW56" s="50">
        <f t="shared" si="89"/>
        <v>113643.60800000001</v>
      </c>
      <c r="AX56" s="50">
        <f t="shared" si="89"/>
        <v>122385.424</v>
      </c>
      <c r="AY56" s="50">
        <f t="shared" si="89"/>
        <v>122385.424</v>
      </c>
      <c r="AZ56" s="50">
        <f t="shared" si="89"/>
        <v>131127.24</v>
      </c>
      <c r="BA56" s="50">
        <f t="shared" si="89"/>
        <v>135061.05719999998</v>
      </c>
      <c r="BB56" s="50">
        <f t="shared" si="89"/>
        <v>144065.12767999998</v>
      </c>
      <c r="BC56" s="50">
        <f t="shared" si="89"/>
        <v>144065.12767999998</v>
      </c>
      <c r="BD56" s="50">
        <f t="shared" si="89"/>
        <v>153069.19815999997</v>
      </c>
      <c r="BE56" s="50">
        <f t="shared" si="89"/>
        <v>153069.19815999997</v>
      </c>
      <c r="BF56" s="50">
        <f t="shared" si="89"/>
        <v>162073.26863999997</v>
      </c>
      <c r="BG56" s="50">
        <f t="shared" si="89"/>
        <v>171077.33911999999</v>
      </c>
      <c r="BH56" s="50">
        <f t="shared" si="89"/>
        <v>171077.33911999999</v>
      </c>
      <c r="BI56" s="50">
        <f t="shared" si="89"/>
        <v>180081.40959999998</v>
      </c>
      <c r="BJ56" s="50">
        <f t="shared" si="89"/>
        <v>180081.40959999998</v>
      </c>
      <c r="BK56" s="50">
        <f t="shared" si="89"/>
        <v>189085.48007999998</v>
      </c>
      <c r="BL56" s="50">
        <f t="shared" si="89"/>
        <v>198089.55055999997</v>
      </c>
    </row>
    <row r="57" spans="1:64" x14ac:dyDescent="0.25">
      <c r="A57" s="44" t="s">
        <v>494</v>
      </c>
      <c r="B57" s="10" t="s">
        <v>83</v>
      </c>
      <c r="E57" s="51">
        <f t="shared" ref="E57:AJ57" si="90">SUM(E52:E56)</f>
        <v>10413.92734</v>
      </c>
      <c r="F57" s="51">
        <f t="shared" si="90"/>
        <v>11255.0467799996</v>
      </c>
      <c r="G57" s="51">
        <f t="shared" si="90"/>
        <v>12102.849715272801</v>
      </c>
      <c r="H57" s="51">
        <f t="shared" si="90"/>
        <v>12957.307877476793</v>
      </c>
      <c r="I57" s="51">
        <f t="shared" si="90"/>
        <v>13870.991649371757</v>
      </c>
      <c r="J57" s="51">
        <f t="shared" si="90"/>
        <v>22843.632734184052</v>
      </c>
      <c r="K57" s="51">
        <f t="shared" si="90"/>
        <v>23980.161252832924</v>
      </c>
      <c r="L57" s="51">
        <f t="shared" si="90"/>
        <v>25069.436975570581</v>
      </c>
      <c r="M57" s="51">
        <f t="shared" si="90"/>
        <v>26269.474304449686</v>
      </c>
      <c r="N57" s="51">
        <f t="shared" si="90"/>
        <v>27684.967118243541</v>
      </c>
      <c r="O57" s="51">
        <f t="shared" si="90"/>
        <v>37209.737213368695</v>
      </c>
      <c r="P57" s="51">
        <f t="shared" si="90"/>
        <v>38843.289043791388</v>
      </c>
      <c r="Q57" s="51">
        <f t="shared" si="90"/>
        <v>41612.729558666797</v>
      </c>
      <c r="R57" s="51">
        <f t="shared" si="90"/>
        <v>43496.706668793253</v>
      </c>
      <c r="S57" s="51">
        <f t="shared" si="90"/>
        <v>45532.850388287749</v>
      </c>
      <c r="T57" s="51">
        <f t="shared" si="90"/>
        <v>47827.613406234392</v>
      </c>
      <c r="U57" s="51">
        <f t="shared" si="90"/>
        <v>58619.821760499442</v>
      </c>
      <c r="V57" s="51">
        <f t="shared" si="90"/>
        <v>61321.165789413237</v>
      </c>
      <c r="W57" s="51">
        <f t="shared" si="90"/>
        <v>64170.971961313531</v>
      </c>
      <c r="X57" s="51">
        <f t="shared" si="90"/>
        <v>66847.145042984848</v>
      </c>
      <c r="Y57" s="51">
        <f t="shared" si="90"/>
        <v>69564.767088962748</v>
      </c>
      <c r="Z57" s="51">
        <f t="shared" si="90"/>
        <v>80670.797358209442</v>
      </c>
      <c r="AA57" s="51">
        <f t="shared" si="90"/>
        <v>83684.565831233223</v>
      </c>
      <c r="AB57" s="51">
        <f t="shared" si="90"/>
        <v>86845.405883642539</v>
      </c>
      <c r="AC57" s="51">
        <f t="shared" si="90"/>
        <v>92292.397767768678</v>
      </c>
      <c r="AD57" s="51">
        <f t="shared" si="90"/>
        <v>95809.264213703733</v>
      </c>
      <c r="AE57" s="51">
        <f t="shared" si="90"/>
        <v>108070.22758183266</v>
      </c>
      <c r="AF57" s="51">
        <f t="shared" si="90"/>
        <v>112099.72723584069</v>
      </c>
      <c r="AG57" s="51">
        <f t="shared" si="90"/>
        <v>116492.91919550463</v>
      </c>
      <c r="AH57" s="51">
        <f t="shared" si="90"/>
        <v>129626.24734862556</v>
      </c>
      <c r="AI57" s="51">
        <f t="shared" si="90"/>
        <v>134524.171167919</v>
      </c>
      <c r="AJ57" s="51">
        <f t="shared" si="90"/>
        <v>139672.75589270447</v>
      </c>
      <c r="AK57" s="51">
        <f t="shared" ref="AK57:BP57" si="91">SUM(AK52:AK56)</f>
        <v>153558.07249413274</v>
      </c>
      <c r="AL57" s="51">
        <f t="shared" si="91"/>
        <v>159204.5976406674</v>
      </c>
      <c r="AM57" s="51">
        <f t="shared" si="91"/>
        <v>165098.41366381914</v>
      </c>
      <c r="AN57" s="51">
        <f t="shared" si="91"/>
        <v>179725.60852413086</v>
      </c>
      <c r="AO57" s="51">
        <f t="shared" si="91"/>
        <v>190308.06324163845</v>
      </c>
      <c r="AP57" s="51">
        <f t="shared" si="91"/>
        <v>205579.26124485277</v>
      </c>
      <c r="AQ57" s="51">
        <f t="shared" si="91"/>
        <v>212245.9113122847</v>
      </c>
      <c r="AR57" s="51">
        <f t="shared" si="91"/>
        <v>227902.14197354182</v>
      </c>
      <c r="AS57" s="51">
        <f t="shared" si="91"/>
        <v>235063.21097302093</v>
      </c>
      <c r="AT57" s="51">
        <f t="shared" si="91"/>
        <v>251322.75082922261</v>
      </c>
      <c r="AU57" s="51">
        <f t="shared" si="91"/>
        <v>259195.52580827032</v>
      </c>
      <c r="AV57" s="51">
        <f t="shared" si="91"/>
        <v>276052.46702144621</v>
      </c>
      <c r="AW57" s="51">
        <f t="shared" si="91"/>
        <v>284519.96459352539</v>
      </c>
      <c r="AX57" s="51">
        <f t="shared" si="91"/>
        <v>302080.06826786848</v>
      </c>
      <c r="AY57" s="51">
        <f t="shared" si="91"/>
        <v>311136.4665048942</v>
      </c>
      <c r="AZ57" s="51">
        <f t="shared" si="91"/>
        <v>329171.72942819039</v>
      </c>
      <c r="BA57" s="51">
        <f t="shared" si="91"/>
        <v>346322.62489315023</v>
      </c>
      <c r="BB57" s="51">
        <f t="shared" si="91"/>
        <v>364931.38863247458</v>
      </c>
      <c r="BC57" s="51">
        <f t="shared" si="91"/>
        <v>374662.71066269209</v>
      </c>
      <c r="BD57" s="51">
        <f t="shared" si="91"/>
        <v>393524.17829420324</v>
      </c>
      <c r="BE57" s="51">
        <f t="shared" si="91"/>
        <v>403620.22565832047</v>
      </c>
      <c r="BF57" s="51">
        <f t="shared" si="91"/>
        <v>422957.93258517311</v>
      </c>
      <c r="BG57" s="51">
        <f t="shared" si="91"/>
        <v>442532.17269517819</v>
      </c>
      <c r="BH57" s="51">
        <f t="shared" si="91"/>
        <v>453337.82480858394</v>
      </c>
      <c r="BI57" s="51">
        <f t="shared" si="91"/>
        <v>473381.98435522988</v>
      </c>
      <c r="BJ57" s="51">
        <f t="shared" si="91"/>
        <v>484655.46998452093</v>
      </c>
      <c r="BK57" s="51">
        <f t="shared" si="91"/>
        <v>505165.38737561321</v>
      </c>
      <c r="BL57" s="51">
        <f t="shared" si="91"/>
        <v>525906.63584781135</v>
      </c>
    </row>
    <row r="58" spans="1:64" x14ac:dyDescent="0.25">
      <c r="A58" s="44" t="s">
        <v>495</v>
      </c>
      <c r="B58" s="10" t="s">
        <v>83</v>
      </c>
      <c r="E58" s="51">
        <f t="shared" ref="E58:AJ58" si="92">E49-E57</f>
        <v>8504.2686599999997</v>
      </c>
      <c r="F58" s="51">
        <f t="shared" si="92"/>
        <v>14238.628344240398</v>
      </c>
      <c r="G58" s="51">
        <f t="shared" si="92"/>
        <v>20021.735087962785</v>
      </c>
      <c r="H58" s="51">
        <f t="shared" si="92"/>
        <v>25853.392111457659</v>
      </c>
      <c r="I58" s="51">
        <f t="shared" si="92"/>
        <v>32091.439897607615</v>
      </c>
      <c r="J58" s="51">
        <f t="shared" si="92"/>
        <v>30734.256340714586</v>
      </c>
      <c r="K58" s="51">
        <f t="shared" si="92"/>
        <v>38496.298592421619</v>
      </c>
      <c r="L58" s="51">
        <f t="shared" si="92"/>
        <v>45940.957442712228</v>
      </c>
      <c r="M58" s="51">
        <f t="shared" si="92"/>
        <v>54143.603912494902</v>
      </c>
      <c r="N58" s="51">
        <f t="shared" si="92"/>
        <v>63817.287001140241</v>
      </c>
      <c r="O58" s="51">
        <f t="shared" si="92"/>
        <v>66240.067754290416</v>
      </c>
      <c r="P58" s="51">
        <f t="shared" si="92"/>
        <v>77408.956715699023</v>
      </c>
      <c r="Q58" s="51">
        <f t="shared" si="92"/>
        <v>93741.58060882485</v>
      </c>
      <c r="R58" s="51">
        <f t="shared" si="92"/>
        <v>106967.62570941835</v>
      </c>
      <c r="S58" s="51">
        <f t="shared" si="92"/>
        <v>121263.72806046833</v>
      </c>
      <c r="T58" s="51">
        <f t="shared" si="92"/>
        <v>137374.18644401972</v>
      </c>
      <c r="U58" s="51">
        <f t="shared" si="92"/>
        <v>147051.75854236266</v>
      </c>
      <c r="V58" s="51">
        <f t="shared" si="92"/>
        <v>166020.65820741918</v>
      </c>
      <c r="W58" s="51">
        <f t="shared" si="92"/>
        <v>186036.68509009181</v>
      </c>
      <c r="X58" s="51">
        <f t="shared" si="92"/>
        <v>204849.93923079176</v>
      </c>
      <c r="Y58" s="51">
        <f t="shared" si="92"/>
        <v>223962.35418266236</v>
      </c>
      <c r="Z58" s="51">
        <f t="shared" si="92"/>
        <v>235881.30151105288</v>
      </c>
      <c r="AA58" s="51">
        <f t="shared" si="92"/>
        <v>257082.59977661987</v>
      </c>
      <c r="AB58" s="51">
        <f t="shared" si="92"/>
        <v>279322.08384184266</v>
      </c>
      <c r="AC58" s="51">
        <f t="shared" si="92"/>
        <v>317011.33479842031</v>
      </c>
      <c r="AD58" s="51">
        <f t="shared" si="92"/>
        <v>342420.90368546656</v>
      </c>
      <c r="AE58" s="51">
        <f t="shared" si="92"/>
        <v>361198.39558286697</v>
      </c>
      <c r="AF58" s="51">
        <f t="shared" si="92"/>
        <v>390310.79632601026</v>
      </c>
      <c r="AG58" s="51">
        <f t="shared" si="92"/>
        <v>422046.19441188511</v>
      </c>
      <c r="AH58" s="51">
        <f t="shared" si="92"/>
        <v>447124.23548871826</v>
      </c>
      <c r="AI58" s="51">
        <f t="shared" si="92"/>
        <v>482512.00400030514</v>
      </c>
      <c r="AJ58" s="51">
        <f t="shared" si="92"/>
        <v>519715.01295553672</v>
      </c>
      <c r="AK58" s="51">
        <f t="shared" ref="AK58:BP58" si="93">AK49-AK57</f>
        <v>550238.80382378469</v>
      </c>
      <c r="AL58" s="51">
        <f t="shared" si="93"/>
        <v>591050.54643059941</v>
      </c>
      <c r="AM58" s="51">
        <f t="shared" si="93"/>
        <v>633655.83885371848</v>
      </c>
      <c r="AN58" s="51">
        <f t="shared" si="93"/>
        <v>669560.30731938535</v>
      </c>
      <c r="AO58" s="51">
        <f t="shared" si="93"/>
        <v>748793.86855867482</v>
      </c>
      <c r="AP58" s="51">
        <f t="shared" si="93"/>
        <v>788550.31841547927</v>
      </c>
      <c r="AQ58" s="51">
        <f t="shared" si="93"/>
        <v>838082.22627299442</v>
      </c>
      <c r="AR58" s="51">
        <f t="shared" si="93"/>
        <v>880720.25791690918</v>
      </c>
      <c r="AS58" s="51">
        <f t="shared" si="93"/>
        <v>933940.64704304282</v>
      </c>
      <c r="AT58" s="51">
        <f t="shared" si="93"/>
        <v>981070.83532802388</v>
      </c>
      <c r="AU58" s="51">
        <f t="shared" si="93"/>
        <v>1039583.844929466</v>
      </c>
      <c r="AV58" s="51">
        <f t="shared" si="93"/>
        <v>1091167.0325367828</v>
      </c>
      <c r="AW58" s="51">
        <f t="shared" si="93"/>
        <v>1154115.2155977455</v>
      </c>
      <c r="AX58" s="51">
        <f t="shared" si="93"/>
        <v>1210934.2636286337</v>
      </c>
      <c r="AY58" s="51">
        <f t="shared" si="93"/>
        <v>1278278.9082663162</v>
      </c>
      <c r="AZ58" s="51">
        <f t="shared" si="93"/>
        <v>1338658.3705090568</v>
      </c>
      <c r="BA58" s="51">
        <f t="shared" si="93"/>
        <v>1475295.3318758928</v>
      </c>
      <c r="BB58" s="51">
        <f t="shared" si="93"/>
        <v>1539705.3270880552</v>
      </c>
      <c r="BC58" s="51">
        <f t="shared" si="93"/>
        <v>1614109.3176205852</v>
      </c>
      <c r="BD58" s="51">
        <f t="shared" si="93"/>
        <v>1680495.1829554208</v>
      </c>
      <c r="BE58" s="51">
        <f t="shared" si="93"/>
        <v>1757723.0473401467</v>
      </c>
      <c r="BF58" s="51">
        <f t="shared" si="93"/>
        <v>1827777.4000347771</v>
      </c>
      <c r="BG58" s="51">
        <f t="shared" si="93"/>
        <v>1899654.9707385316</v>
      </c>
      <c r="BH58" s="51">
        <f t="shared" si="93"/>
        <v>1982352.5180413215</v>
      </c>
      <c r="BI58" s="51">
        <f t="shared" si="93"/>
        <v>2057854.6178755821</v>
      </c>
      <c r="BJ58" s="51">
        <f t="shared" si="93"/>
        <v>2144162.1567684505</v>
      </c>
      <c r="BK58" s="51">
        <f t="shared" si="93"/>
        <v>2223259.7678942983</v>
      </c>
      <c r="BL58" s="51">
        <f t="shared" si="93"/>
        <v>2304144.3243276011</v>
      </c>
    </row>
    <row r="59" spans="1:64" x14ac:dyDescent="0.25">
      <c r="A59" s="8" t="s">
        <v>496</v>
      </c>
      <c r="B59" s="10" t="s">
        <v>129</v>
      </c>
      <c r="E59" s="41">
        <f t="shared" ref="E59:AJ59" si="94">IF(E49=0,0,E58/E49)</f>
        <v>0.44952852058409798</v>
      </c>
      <c r="F59" s="41">
        <f t="shared" si="94"/>
        <v>0.55851611330458861</v>
      </c>
      <c r="G59" s="41">
        <f t="shared" si="94"/>
        <v>0.62325272717442859</v>
      </c>
      <c r="H59" s="41">
        <f t="shared" si="94"/>
        <v>0.66614083535800361</v>
      </c>
      <c r="I59" s="41">
        <f t="shared" si="94"/>
        <v>0.69821022990931492</v>
      </c>
      <c r="J59" s="41">
        <f t="shared" si="94"/>
        <v>0.57363694000243204</v>
      </c>
      <c r="K59" s="41">
        <f t="shared" si="94"/>
        <v>0.61617285434820679</v>
      </c>
      <c r="L59" s="41">
        <f t="shared" si="94"/>
        <v>0.64696102336933314</v>
      </c>
      <c r="M59" s="41">
        <f t="shared" si="94"/>
        <v>0.67331838443520498</v>
      </c>
      <c r="N59" s="41">
        <f t="shared" si="94"/>
        <v>0.69743950698610413</v>
      </c>
      <c r="O59" s="41">
        <f t="shared" si="94"/>
        <v>0.64031119029174244</v>
      </c>
      <c r="P59" s="41">
        <f t="shared" si="94"/>
        <v>0.66587063510022249</v>
      </c>
      <c r="Q59" s="41">
        <f t="shared" si="94"/>
        <v>0.6925644295540061</v>
      </c>
      <c r="R59" s="41">
        <f t="shared" si="94"/>
        <v>0.7109168267237006</v>
      </c>
      <c r="S59" s="41">
        <f t="shared" si="94"/>
        <v>0.72701568094649782</v>
      </c>
      <c r="T59" s="41">
        <f t="shared" si="94"/>
        <v>0.7417540572234953</v>
      </c>
      <c r="U59" s="41">
        <f t="shared" si="94"/>
        <v>0.71498336486655711</v>
      </c>
      <c r="V59" s="41">
        <f t="shared" si="94"/>
        <v>0.73026887568972954</v>
      </c>
      <c r="W59" s="41">
        <f t="shared" si="94"/>
        <v>0.74352914408159154</v>
      </c>
      <c r="X59" s="41">
        <f t="shared" si="94"/>
        <v>0.75396443719055128</v>
      </c>
      <c r="Y59" s="41">
        <f t="shared" si="94"/>
        <v>0.76300395415731048</v>
      </c>
      <c r="Z59" s="41">
        <f t="shared" si="94"/>
        <v>0.74515791351133354</v>
      </c>
      <c r="AA59" s="41">
        <f t="shared" si="94"/>
        <v>0.75442303638040209</v>
      </c>
      <c r="AB59" s="41">
        <f t="shared" si="94"/>
        <v>0.76282600634821429</v>
      </c>
      <c r="AC59" s="41">
        <f t="shared" si="94"/>
        <v>0.77451366693108781</v>
      </c>
      <c r="AD59" s="41">
        <f t="shared" si="94"/>
        <v>0.78137227595944991</v>
      </c>
      <c r="AE59" s="41">
        <f t="shared" si="94"/>
        <v>0.76970497866868215</v>
      </c>
      <c r="AF59" s="41">
        <f t="shared" si="94"/>
        <v>0.77687623571037667</v>
      </c>
      <c r="AG59" s="41">
        <f t="shared" si="94"/>
        <v>0.78368717099268803</v>
      </c>
      <c r="AH59" s="41">
        <f t="shared" si="94"/>
        <v>0.77524726687540024</v>
      </c>
      <c r="AI59" s="41">
        <f t="shared" si="94"/>
        <v>0.7819833316397643</v>
      </c>
      <c r="AJ59" s="41">
        <f t="shared" si="94"/>
        <v>0.78817812144639532</v>
      </c>
      <c r="AK59" s="41">
        <f t="shared" ref="AK59:BP59" si="95">IF(AK49=0,0,AK58/AK49)</f>
        <v>0.78181478540014449</v>
      </c>
      <c r="AL59" s="41">
        <f t="shared" si="95"/>
        <v>0.78779939211513828</v>
      </c>
      <c r="AM59" s="41">
        <f t="shared" si="95"/>
        <v>0.79330512088861249</v>
      </c>
      <c r="AN59" s="41">
        <f t="shared" si="95"/>
        <v>0.78838032614066578</v>
      </c>
      <c r="AO59" s="41">
        <f t="shared" si="95"/>
        <v>0.79735100440395557</v>
      </c>
      <c r="AP59" s="41">
        <f t="shared" si="95"/>
        <v>0.79320677560455066</v>
      </c>
      <c r="AQ59" s="41">
        <f t="shared" si="95"/>
        <v>0.79792418795878273</v>
      </c>
      <c r="AR59" s="41">
        <f t="shared" si="95"/>
        <v>0.79442762297057856</v>
      </c>
      <c r="AS59" s="41">
        <f t="shared" si="95"/>
        <v>0.79892007253769837</v>
      </c>
      <c r="AT59" s="41">
        <f t="shared" si="95"/>
        <v>0.79606941024995304</v>
      </c>
      <c r="AU59" s="41">
        <f t="shared" si="95"/>
        <v>0.80043144228488838</v>
      </c>
      <c r="AV59" s="41">
        <f t="shared" si="95"/>
        <v>0.79809206414138822</v>
      </c>
      <c r="AW59" s="41">
        <f t="shared" si="95"/>
        <v>0.80222924580803212</v>
      </c>
      <c r="AX59" s="41">
        <f t="shared" si="95"/>
        <v>0.80034553414360377</v>
      </c>
      <c r="AY59" s="41">
        <f t="shared" si="95"/>
        <v>0.80424471070082548</v>
      </c>
      <c r="AZ59" s="41">
        <f t="shared" si="95"/>
        <v>0.8026347351324481</v>
      </c>
      <c r="BA59" s="41">
        <f t="shared" si="95"/>
        <v>0.80988185606853935</v>
      </c>
      <c r="BB59" s="41">
        <f t="shared" si="95"/>
        <v>0.808398428098967</v>
      </c>
      <c r="BC59" s="41">
        <f t="shared" si="95"/>
        <v>0.8116110316645474</v>
      </c>
      <c r="BD59" s="41">
        <f t="shared" si="95"/>
        <v>0.8102601230988028</v>
      </c>
      <c r="BE59" s="41">
        <f t="shared" si="95"/>
        <v>0.81325491850335674</v>
      </c>
      <c r="BF59" s="41">
        <f t="shared" si="95"/>
        <v>0.81208011157276661</v>
      </c>
      <c r="BG59" s="41">
        <f t="shared" si="95"/>
        <v>0.8110602844286755</v>
      </c>
      <c r="BH59" s="41">
        <f t="shared" si="95"/>
        <v>0.81387706933297965</v>
      </c>
      <c r="BI59" s="41">
        <f t="shared" si="95"/>
        <v>0.81298390520347563</v>
      </c>
      <c r="BJ59" s="41">
        <f t="shared" si="95"/>
        <v>0.815637469464494</v>
      </c>
      <c r="BK59" s="41">
        <f t="shared" si="95"/>
        <v>0.8148509273197786</v>
      </c>
      <c r="BL59" s="41">
        <f t="shared" si="95"/>
        <v>0.81417061273864333</v>
      </c>
    </row>
    <row r="60" spans="1:64" x14ac:dyDescent="0.25">
      <c r="A60" s="19" t="s">
        <v>497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</row>
    <row r="61" spans="1:64" x14ac:dyDescent="0.25">
      <c r="A61" s="8" t="s">
        <v>498</v>
      </c>
      <c r="B61" s="10" t="s">
        <v>83</v>
      </c>
      <c r="E61" s="50">
        <f t="shared" ref="E61:AJ61" si="96">E19*sal_sales*(1+raise_pct)^E9*(1+oncost_pct)/12</f>
        <v>0</v>
      </c>
      <c r="F61" s="50">
        <f t="shared" si="96"/>
        <v>0</v>
      </c>
      <c r="G61" s="50">
        <f t="shared" si="96"/>
        <v>0</v>
      </c>
      <c r="H61" s="50">
        <f t="shared" si="96"/>
        <v>11000</v>
      </c>
      <c r="I61" s="50">
        <f t="shared" si="96"/>
        <v>11000</v>
      </c>
      <c r="J61" s="50">
        <f t="shared" si="96"/>
        <v>22000</v>
      </c>
      <c r="K61" s="50">
        <f t="shared" si="96"/>
        <v>22000</v>
      </c>
      <c r="L61" s="50">
        <f t="shared" si="96"/>
        <v>22000</v>
      </c>
      <c r="M61" s="50">
        <f t="shared" si="96"/>
        <v>33000</v>
      </c>
      <c r="N61" s="50">
        <f t="shared" si="96"/>
        <v>33000</v>
      </c>
      <c r="O61" s="50">
        <f t="shared" si="96"/>
        <v>33000</v>
      </c>
      <c r="P61" s="50">
        <f t="shared" si="96"/>
        <v>33000</v>
      </c>
      <c r="Q61" s="50">
        <f t="shared" si="96"/>
        <v>45320</v>
      </c>
      <c r="R61" s="50">
        <f t="shared" si="96"/>
        <v>45320</v>
      </c>
      <c r="S61" s="50">
        <f t="shared" si="96"/>
        <v>56650</v>
      </c>
      <c r="T61" s="50">
        <f t="shared" si="96"/>
        <v>67980</v>
      </c>
      <c r="U61" s="50">
        <f t="shared" si="96"/>
        <v>67980</v>
      </c>
      <c r="V61" s="50">
        <f t="shared" si="96"/>
        <v>67980</v>
      </c>
      <c r="W61" s="50">
        <f t="shared" si="96"/>
        <v>67980</v>
      </c>
      <c r="X61" s="50">
        <f t="shared" si="96"/>
        <v>67980</v>
      </c>
      <c r="Y61" s="50">
        <f t="shared" si="96"/>
        <v>79310</v>
      </c>
      <c r="Z61" s="50">
        <f t="shared" si="96"/>
        <v>90640</v>
      </c>
      <c r="AA61" s="50">
        <f t="shared" si="96"/>
        <v>90640</v>
      </c>
      <c r="AB61" s="50">
        <f t="shared" si="96"/>
        <v>90640</v>
      </c>
      <c r="AC61" s="50">
        <f t="shared" si="96"/>
        <v>93359.2</v>
      </c>
      <c r="AD61" s="50">
        <f t="shared" si="96"/>
        <v>105029.09999999999</v>
      </c>
      <c r="AE61" s="50">
        <f t="shared" si="96"/>
        <v>105029.09999999999</v>
      </c>
      <c r="AF61" s="50">
        <f t="shared" si="96"/>
        <v>116699</v>
      </c>
      <c r="AG61" s="50">
        <f t="shared" si="96"/>
        <v>116699</v>
      </c>
      <c r="AH61" s="50">
        <f t="shared" si="96"/>
        <v>128368.90000000001</v>
      </c>
      <c r="AI61" s="50">
        <f t="shared" si="96"/>
        <v>128368.90000000001</v>
      </c>
      <c r="AJ61" s="50">
        <f t="shared" si="96"/>
        <v>140038.79999999999</v>
      </c>
      <c r="AK61" s="50">
        <f t="shared" ref="AK61:BL61" si="97">AK19*sal_sales*(1+raise_pct)^AK9*(1+oncost_pct)/12</f>
        <v>140038.79999999999</v>
      </c>
      <c r="AL61" s="50">
        <f t="shared" si="97"/>
        <v>151708.69999999998</v>
      </c>
      <c r="AM61" s="50">
        <f t="shared" si="97"/>
        <v>151708.69999999998</v>
      </c>
      <c r="AN61" s="50">
        <f t="shared" si="97"/>
        <v>163378.6</v>
      </c>
      <c r="AO61" s="50">
        <f t="shared" si="97"/>
        <v>168279.95800000001</v>
      </c>
      <c r="AP61" s="50">
        <f t="shared" si="97"/>
        <v>180299.95499999999</v>
      </c>
      <c r="AQ61" s="50">
        <f t="shared" si="97"/>
        <v>192319.95200000002</v>
      </c>
      <c r="AR61" s="50">
        <f t="shared" si="97"/>
        <v>192319.95200000002</v>
      </c>
      <c r="AS61" s="50">
        <f t="shared" si="97"/>
        <v>204339.94899999999</v>
      </c>
      <c r="AT61" s="50">
        <f t="shared" si="97"/>
        <v>216359.946</v>
      </c>
      <c r="AU61" s="50">
        <f t="shared" si="97"/>
        <v>216359.946</v>
      </c>
      <c r="AV61" s="50">
        <f t="shared" si="97"/>
        <v>228379.943</v>
      </c>
      <c r="AW61" s="50">
        <f t="shared" si="97"/>
        <v>240399.93999999997</v>
      </c>
      <c r="AX61" s="50">
        <f t="shared" si="97"/>
        <v>240399.93999999997</v>
      </c>
      <c r="AY61" s="50">
        <f t="shared" si="97"/>
        <v>252419.93700000001</v>
      </c>
      <c r="AZ61" s="50">
        <f t="shared" si="97"/>
        <v>264439.93399999995</v>
      </c>
      <c r="BA61" s="50">
        <f t="shared" si="97"/>
        <v>272373.13201999996</v>
      </c>
      <c r="BB61" s="50">
        <f t="shared" si="97"/>
        <v>284753.72892999998</v>
      </c>
      <c r="BC61" s="50">
        <f t="shared" si="97"/>
        <v>284753.72892999998</v>
      </c>
      <c r="BD61" s="50">
        <f t="shared" si="97"/>
        <v>297134.32583999995</v>
      </c>
      <c r="BE61" s="50">
        <f t="shared" si="97"/>
        <v>297134.32583999995</v>
      </c>
      <c r="BF61" s="50">
        <f t="shared" si="97"/>
        <v>309514.92274999997</v>
      </c>
      <c r="BG61" s="50">
        <f t="shared" si="97"/>
        <v>309514.92274999997</v>
      </c>
      <c r="BH61" s="50">
        <f t="shared" si="97"/>
        <v>321895.51965999999</v>
      </c>
      <c r="BI61" s="50">
        <f t="shared" si="97"/>
        <v>321895.51965999999</v>
      </c>
      <c r="BJ61" s="50">
        <f t="shared" si="97"/>
        <v>334276.11656999995</v>
      </c>
      <c r="BK61" s="50">
        <f t="shared" si="97"/>
        <v>334276.11656999995</v>
      </c>
      <c r="BL61" s="50">
        <f t="shared" si="97"/>
        <v>346656.71347999998</v>
      </c>
    </row>
    <row r="62" spans="1:64" x14ac:dyDescent="0.25">
      <c r="A62" s="8" t="s">
        <v>499</v>
      </c>
      <c r="B62" s="10" t="s">
        <v>83</v>
      </c>
      <c r="E62" s="50">
        <f t="shared" ref="E62:AJ62" si="98">E20*sal_mkt*(1+raise_pct)^E9*(1+oncost_pct)/12</f>
        <v>0</v>
      </c>
      <c r="F62" s="50">
        <f t="shared" si="98"/>
        <v>0</v>
      </c>
      <c r="G62" s="50">
        <f t="shared" si="98"/>
        <v>0</v>
      </c>
      <c r="H62" s="50">
        <f t="shared" si="98"/>
        <v>0</v>
      </c>
      <c r="I62" s="50">
        <f t="shared" si="98"/>
        <v>0</v>
      </c>
      <c r="J62" s="50">
        <f t="shared" si="98"/>
        <v>0</v>
      </c>
      <c r="K62" s="50">
        <f t="shared" si="98"/>
        <v>0</v>
      </c>
      <c r="L62" s="50">
        <f t="shared" si="98"/>
        <v>0</v>
      </c>
      <c r="M62" s="50">
        <f t="shared" si="98"/>
        <v>0</v>
      </c>
      <c r="N62" s="50">
        <f t="shared" si="98"/>
        <v>0</v>
      </c>
      <c r="O62" s="50">
        <f t="shared" si="98"/>
        <v>0</v>
      </c>
      <c r="P62" s="50">
        <f t="shared" si="98"/>
        <v>0</v>
      </c>
      <c r="Q62" s="50">
        <f t="shared" si="98"/>
        <v>0</v>
      </c>
      <c r="R62" s="50">
        <f t="shared" si="98"/>
        <v>11330</v>
      </c>
      <c r="S62" s="50">
        <f t="shared" si="98"/>
        <v>11330</v>
      </c>
      <c r="T62" s="50">
        <f t="shared" si="98"/>
        <v>11330</v>
      </c>
      <c r="U62" s="50">
        <f t="shared" si="98"/>
        <v>11330</v>
      </c>
      <c r="V62" s="50">
        <f t="shared" si="98"/>
        <v>11330</v>
      </c>
      <c r="W62" s="50">
        <f t="shared" si="98"/>
        <v>11330</v>
      </c>
      <c r="X62" s="50">
        <f t="shared" si="98"/>
        <v>11330</v>
      </c>
      <c r="Y62" s="50">
        <f t="shared" si="98"/>
        <v>22660</v>
      </c>
      <c r="Z62" s="50">
        <f t="shared" si="98"/>
        <v>22660</v>
      </c>
      <c r="AA62" s="50">
        <f t="shared" si="98"/>
        <v>22660</v>
      </c>
      <c r="AB62" s="50">
        <f t="shared" si="98"/>
        <v>22660</v>
      </c>
      <c r="AC62" s="50">
        <f t="shared" si="98"/>
        <v>23339.8</v>
      </c>
      <c r="AD62" s="50">
        <f t="shared" si="98"/>
        <v>23339.8</v>
      </c>
      <c r="AE62" s="50">
        <f t="shared" si="98"/>
        <v>23339.8</v>
      </c>
      <c r="AF62" s="50">
        <f t="shared" si="98"/>
        <v>23339.8</v>
      </c>
      <c r="AG62" s="50">
        <f t="shared" si="98"/>
        <v>23339.8</v>
      </c>
      <c r="AH62" s="50">
        <f t="shared" si="98"/>
        <v>35009.699999999997</v>
      </c>
      <c r="AI62" s="50">
        <f t="shared" si="98"/>
        <v>35009.699999999997</v>
      </c>
      <c r="AJ62" s="50">
        <f t="shared" si="98"/>
        <v>35009.699999999997</v>
      </c>
      <c r="AK62" s="50">
        <f t="shared" ref="AK62:BL62" si="99">AK20*sal_mkt*(1+raise_pct)^AK9*(1+oncost_pct)/12</f>
        <v>35009.699999999997</v>
      </c>
      <c r="AL62" s="50">
        <f t="shared" si="99"/>
        <v>35009.699999999997</v>
      </c>
      <c r="AM62" s="50">
        <f t="shared" si="99"/>
        <v>35009.699999999997</v>
      </c>
      <c r="AN62" s="50">
        <f t="shared" si="99"/>
        <v>46679.6</v>
      </c>
      <c r="AO62" s="50">
        <f t="shared" si="99"/>
        <v>48079.988000000005</v>
      </c>
      <c r="AP62" s="50">
        <f t="shared" si="99"/>
        <v>48079.988000000005</v>
      </c>
      <c r="AQ62" s="50">
        <f t="shared" si="99"/>
        <v>48079.988000000005</v>
      </c>
      <c r="AR62" s="50">
        <f t="shared" si="99"/>
        <v>48079.988000000005</v>
      </c>
      <c r="AS62" s="50">
        <f t="shared" si="99"/>
        <v>48079.988000000005</v>
      </c>
      <c r="AT62" s="50">
        <f t="shared" si="99"/>
        <v>60099.984999999993</v>
      </c>
      <c r="AU62" s="50">
        <f t="shared" si="99"/>
        <v>60099.984999999993</v>
      </c>
      <c r="AV62" s="50">
        <f t="shared" si="99"/>
        <v>60099.984999999993</v>
      </c>
      <c r="AW62" s="50">
        <f t="shared" si="99"/>
        <v>60099.984999999993</v>
      </c>
      <c r="AX62" s="50">
        <f t="shared" si="99"/>
        <v>60099.984999999993</v>
      </c>
      <c r="AY62" s="50">
        <f t="shared" si="99"/>
        <v>60099.984999999993</v>
      </c>
      <c r="AZ62" s="50">
        <f t="shared" si="99"/>
        <v>72119.981999999989</v>
      </c>
      <c r="BA62" s="50">
        <f t="shared" si="99"/>
        <v>74283.581459999987</v>
      </c>
      <c r="BB62" s="50">
        <f t="shared" si="99"/>
        <v>74283.581459999987</v>
      </c>
      <c r="BC62" s="50">
        <f t="shared" si="99"/>
        <v>74283.581459999987</v>
      </c>
      <c r="BD62" s="50">
        <f t="shared" si="99"/>
        <v>74283.581459999987</v>
      </c>
      <c r="BE62" s="50">
        <f t="shared" si="99"/>
        <v>74283.581459999987</v>
      </c>
      <c r="BF62" s="50">
        <f t="shared" si="99"/>
        <v>86664.178369999994</v>
      </c>
      <c r="BG62" s="50">
        <f t="shared" si="99"/>
        <v>86664.178369999994</v>
      </c>
      <c r="BH62" s="50">
        <f t="shared" si="99"/>
        <v>86664.178369999994</v>
      </c>
      <c r="BI62" s="50">
        <f t="shared" si="99"/>
        <v>86664.178369999994</v>
      </c>
      <c r="BJ62" s="50">
        <f t="shared" si="99"/>
        <v>86664.178369999994</v>
      </c>
      <c r="BK62" s="50">
        <f t="shared" si="99"/>
        <v>86664.178369999994</v>
      </c>
      <c r="BL62" s="50">
        <f t="shared" si="99"/>
        <v>99044.775279999987</v>
      </c>
    </row>
    <row r="63" spans="1:64" x14ac:dyDescent="0.25">
      <c r="A63" s="8" t="s">
        <v>500</v>
      </c>
      <c r="B63" s="10" t="s">
        <v>83</v>
      </c>
      <c r="C63" s="39" t="s">
        <v>501</v>
      </c>
      <c r="E63" s="50">
        <f t="shared" ref="E63:AJ63" si="100">E35*mkt_per_new+mkt_fixed</f>
        <v>23225</v>
      </c>
      <c r="F63" s="50">
        <f t="shared" si="100"/>
        <v>23450</v>
      </c>
      <c r="G63" s="50">
        <f t="shared" si="100"/>
        <v>23675</v>
      </c>
      <c r="H63" s="50">
        <f t="shared" si="100"/>
        <v>25025</v>
      </c>
      <c r="I63" s="50">
        <f t="shared" si="100"/>
        <v>26375</v>
      </c>
      <c r="J63" s="50">
        <f t="shared" si="100"/>
        <v>29975</v>
      </c>
      <c r="K63" s="50">
        <f t="shared" si="100"/>
        <v>29075</v>
      </c>
      <c r="L63" s="50">
        <f t="shared" si="100"/>
        <v>31550</v>
      </c>
      <c r="M63" s="50">
        <f t="shared" si="100"/>
        <v>36275</v>
      </c>
      <c r="N63" s="50">
        <f t="shared" si="100"/>
        <v>38750</v>
      </c>
      <c r="O63" s="50">
        <f t="shared" si="100"/>
        <v>41225</v>
      </c>
      <c r="P63" s="50">
        <f t="shared" si="100"/>
        <v>43700</v>
      </c>
      <c r="Q63" s="50">
        <f t="shared" si="100"/>
        <v>46175</v>
      </c>
      <c r="R63" s="50">
        <f t="shared" si="100"/>
        <v>49549.999999999993</v>
      </c>
      <c r="S63" s="50">
        <f t="shared" si="100"/>
        <v>55175</v>
      </c>
      <c r="T63" s="50">
        <f t="shared" si="100"/>
        <v>60800</v>
      </c>
      <c r="U63" s="50">
        <f t="shared" si="100"/>
        <v>64175</v>
      </c>
      <c r="V63" s="50">
        <f t="shared" si="100"/>
        <v>67550</v>
      </c>
      <c r="W63" s="50">
        <f t="shared" si="100"/>
        <v>64174.999999999993</v>
      </c>
      <c r="X63" s="50">
        <f t="shared" si="100"/>
        <v>65300</v>
      </c>
      <c r="Y63" s="50">
        <f t="shared" si="100"/>
        <v>68675</v>
      </c>
      <c r="Z63" s="50">
        <f t="shared" si="100"/>
        <v>72050</v>
      </c>
      <c r="AA63" s="50">
        <f t="shared" si="100"/>
        <v>75425</v>
      </c>
      <c r="AB63" s="50">
        <f t="shared" si="100"/>
        <v>78800</v>
      </c>
      <c r="AC63" s="50">
        <f t="shared" si="100"/>
        <v>82175</v>
      </c>
      <c r="AD63" s="50">
        <f t="shared" si="100"/>
        <v>87800.000000000015</v>
      </c>
      <c r="AE63" s="50">
        <f t="shared" si="100"/>
        <v>93425</v>
      </c>
      <c r="AF63" s="50">
        <f t="shared" si="100"/>
        <v>101300</v>
      </c>
      <c r="AG63" s="50">
        <f t="shared" si="100"/>
        <v>106925</v>
      </c>
      <c r="AH63" s="50">
        <f t="shared" si="100"/>
        <v>112550</v>
      </c>
      <c r="AI63" s="50">
        <f t="shared" si="100"/>
        <v>118175</v>
      </c>
      <c r="AJ63" s="50">
        <f t="shared" si="100"/>
        <v>123800.00000000001</v>
      </c>
      <c r="AK63" s="50">
        <f t="shared" ref="AK63:BL63" si="101">AK35*mkt_per_new+mkt_fixed</f>
        <v>129425</v>
      </c>
      <c r="AL63" s="50">
        <f t="shared" si="101"/>
        <v>135050</v>
      </c>
      <c r="AM63" s="50">
        <f t="shared" si="101"/>
        <v>140675</v>
      </c>
      <c r="AN63" s="50">
        <f t="shared" si="101"/>
        <v>144050</v>
      </c>
      <c r="AO63" s="50">
        <f t="shared" si="101"/>
        <v>147425</v>
      </c>
      <c r="AP63" s="50">
        <f t="shared" si="101"/>
        <v>150800</v>
      </c>
      <c r="AQ63" s="50">
        <f t="shared" si="101"/>
        <v>156425</v>
      </c>
      <c r="AR63" s="50">
        <f t="shared" si="101"/>
        <v>162050</v>
      </c>
      <c r="AS63" s="50">
        <f t="shared" si="101"/>
        <v>169925.00000000003</v>
      </c>
      <c r="AT63" s="50">
        <f t="shared" si="101"/>
        <v>177800.00000000003</v>
      </c>
      <c r="AU63" s="50">
        <f t="shared" si="101"/>
        <v>183425</v>
      </c>
      <c r="AV63" s="50">
        <f t="shared" si="101"/>
        <v>191300</v>
      </c>
      <c r="AW63" s="50">
        <f t="shared" si="101"/>
        <v>199175</v>
      </c>
      <c r="AX63" s="50">
        <f t="shared" si="101"/>
        <v>204800</v>
      </c>
      <c r="AY63" s="50">
        <f t="shared" si="101"/>
        <v>210425.00000000003</v>
      </c>
      <c r="AZ63" s="50">
        <f t="shared" si="101"/>
        <v>213800</v>
      </c>
      <c r="BA63" s="50">
        <f t="shared" si="101"/>
        <v>214925</v>
      </c>
      <c r="BB63" s="50">
        <f t="shared" si="101"/>
        <v>218300</v>
      </c>
      <c r="BC63" s="50">
        <f t="shared" si="101"/>
        <v>221675.00000000003</v>
      </c>
      <c r="BD63" s="50">
        <f t="shared" si="101"/>
        <v>227300.00000000003</v>
      </c>
      <c r="BE63" s="50">
        <f t="shared" si="101"/>
        <v>232925</v>
      </c>
      <c r="BF63" s="50">
        <f t="shared" si="101"/>
        <v>238550</v>
      </c>
      <c r="BG63" s="50">
        <f t="shared" si="101"/>
        <v>244175</v>
      </c>
      <c r="BH63" s="50">
        <f t="shared" si="101"/>
        <v>249800</v>
      </c>
      <c r="BI63" s="50">
        <f t="shared" si="101"/>
        <v>255425.00000000003</v>
      </c>
      <c r="BJ63" s="50">
        <f t="shared" si="101"/>
        <v>261050</v>
      </c>
      <c r="BK63" s="50">
        <f t="shared" si="101"/>
        <v>266675</v>
      </c>
      <c r="BL63" s="50">
        <f t="shared" si="101"/>
        <v>270050</v>
      </c>
    </row>
    <row r="64" spans="1:64" x14ac:dyDescent="0.25">
      <c r="A64" s="44" t="s">
        <v>502</v>
      </c>
      <c r="B64" s="10" t="s">
        <v>83</v>
      </c>
      <c r="E64" s="51">
        <f t="shared" ref="E64:AJ64" si="102">SUM(E61:E63)</f>
        <v>23225</v>
      </c>
      <c r="F64" s="51">
        <f t="shared" si="102"/>
        <v>23450</v>
      </c>
      <c r="G64" s="51">
        <f t="shared" si="102"/>
        <v>23675</v>
      </c>
      <c r="H64" s="51">
        <f t="shared" si="102"/>
        <v>36025</v>
      </c>
      <c r="I64" s="51">
        <f t="shared" si="102"/>
        <v>37375</v>
      </c>
      <c r="J64" s="51">
        <f t="shared" si="102"/>
        <v>51975</v>
      </c>
      <c r="K64" s="51">
        <f t="shared" si="102"/>
        <v>51075</v>
      </c>
      <c r="L64" s="51">
        <f t="shared" si="102"/>
        <v>53550</v>
      </c>
      <c r="M64" s="51">
        <f t="shared" si="102"/>
        <v>69275</v>
      </c>
      <c r="N64" s="51">
        <f t="shared" si="102"/>
        <v>71750</v>
      </c>
      <c r="O64" s="51">
        <f t="shared" si="102"/>
        <v>74225</v>
      </c>
      <c r="P64" s="51">
        <f t="shared" si="102"/>
        <v>76700</v>
      </c>
      <c r="Q64" s="51">
        <f t="shared" si="102"/>
        <v>91495</v>
      </c>
      <c r="R64" s="51">
        <f t="shared" si="102"/>
        <v>106200</v>
      </c>
      <c r="S64" s="51">
        <f t="shared" si="102"/>
        <v>123155</v>
      </c>
      <c r="T64" s="51">
        <f t="shared" si="102"/>
        <v>140110</v>
      </c>
      <c r="U64" s="51">
        <f t="shared" si="102"/>
        <v>143485</v>
      </c>
      <c r="V64" s="51">
        <f t="shared" si="102"/>
        <v>146860</v>
      </c>
      <c r="W64" s="51">
        <f t="shared" si="102"/>
        <v>143485</v>
      </c>
      <c r="X64" s="51">
        <f t="shared" si="102"/>
        <v>144610</v>
      </c>
      <c r="Y64" s="51">
        <f t="shared" si="102"/>
        <v>170645</v>
      </c>
      <c r="Z64" s="51">
        <f t="shared" si="102"/>
        <v>185350</v>
      </c>
      <c r="AA64" s="51">
        <f t="shared" si="102"/>
        <v>188725</v>
      </c>
      <c r="AB64" s="51">
        <f t="shared" si="102"/>
        <v>192100</v>
      </c>
      <c r="AC64" s="51">
        <f t="shared" si="102"/>
        <v>198874</v>
      </c>
      <c r="AD64" s="51">
        <f t="shared" si="102"/>
        <v>216168.90000000002</v>
      </c>
      <c r="AE64" s="51">
        <f t="shared" si="102"/>
        <v>221793.9</v>
      </c>
      <c r="AF64" s="51">
        <f t="shared" si="102"/>
        <v>241338.8</v>
      </c>
      <c r="AG64" s="51">
        <f t="shared" si="102"/>
        <v>246963.8</v>
      </c>
      <c r="AH64" s="51">
        <f t="shared" si="102"/>
        <v>275928.59999999998</v>
      </c>
      <c r="AI64" s="51">
        <f t="shared" si="102"/>
        <v>281553.59999999998</v>
      </c>
      <c r="AJ64" s="51">
        <f t="shared" si="102"/>
        <v>298848.5</v>
      </c>
      <c r="AK64" s="51">
        <f t="shared" ref="AK64:BP64" si="103">SUM(AK61:AK63)</f>
        <v>304473.5</v>
      </c>
      <c r="AL64" s="51">
        <f t="shared" si="103"/>
        <v>321768.39999999997</v>
      </c>
      <c r="AM64" s="51">
        <f t="shared" si="103"/>
        <v>327393.39999999997</v>
      </c>
      <c r="AN64" s="51">
        <f t="shared" si="103"/>
        <v>354108.2</v>
      </c>
      <c r="AO64" s="51">
        <f t="shared" si="103"/>
        <v>363784.946</v>
      </c>
      <c r="AP64" s="51">
        <f t="shared" si="103"/>
        <v>379179.94299999997</v>
      </c>
      <c r="AQ64" s="51">
        <f t="shared" si="103"/>
        <v>396824.94000000006</v>
      </c>
      <c r="AR64" s="51">
        <f t="shared" si="103"/>
        <v>402449.94000000006</v>
      </c>
      <c r="AS64" s="51">
        <f t="shared" si="103"/>
        <v>422344.93700000003</v>
      </c>
      <c r="AT64" s="51">
        <f t="shared" si="103"/>
        <v>454259.93099999998</v>
      </c>
      <c r="AU64" s="51">
        <f t="shared" si="103"/>
        <v>459884.93099999998</v>
      </c>
      <c r="AV64" s="51">
        <f t="shared" si="103"/>
        <v>479779.92800000001</v>
      </c>
      <c r="AW64" s="51">
        <f t="shared" si="103"/>
        <v>499674.92499999999</v>
      </c>
      <c r="AX64" s="51">
        <f t="shared" si="103"/>
        <v>505299.92499999999</v>
      </c>
      <c r="AY64" s="51">
        <f t="shared" si="103"/>
        <v>522944.92200000002</v>
      </c>
      <c r="AZ64" s="51">
        <f t="shared" si="103"/>
        <v>550359.91599999997</v>
      </c>
      <c r="BA64" s="51">
        <f t="shared" si="103"/>
        <v>561581.71347999992</v>
      </c>
      <c r="BB64" s="51">
        <f t="shared" si="103"/>
        <v>577337.31039</v>
      </c>
      <c r="BC64" s="51">
        <f t="shared" si="103"/>
        <v>580712.31039</v>
      </c>
      <c r="BD64" s="51">
        <f t="shared" si="103"/>
        <v>598717.90729999996</v>
      </c>
      <c r="BE64" s="51">
        <f t="shared" si="103"/>
        <v>604342.90729999996</v>
      </c>
      <c r="BF64" s="51">
        <f t="shared" si="103"/>
        <v>634729.10112000001</v>
      </c>
      <c r="BG64" s="51">
        <f t="shared" si="103"/>
        <v>640354.10112000001</v>
      </c>
      <c r="BH64" s="51">
        <f t="shared" si="103"/>
        <v>658359.69802999997</v>
      </c>
      <c r="BI64" s="51">
        <f t="shared" si="103"/>
        <v>663984.69802999997</v>
      </c>
      <c r="BJ64" s="51">
        <f t="shared" si="103"/>
        <v>681990.29493999993</v>
      </c>
      <c r="BK64" s="51">
        <f t="shared" si="103"/>
        <v>687615.29493999993</v>
      </c>
      <c r="BL64" s="51">
        <f t="shared" si="103"/>
        <v>715751.48875999998</v>
      </c>
    </row>
    <row r="65" spans="1:64" x14ac:dyDescent="0.25">
      <c r="A65" s="8" t="s">
        <v>503</v>
      </c>
      <c r="B65" s="10" t="s">
        <v>83</v>
      </c>
      <c r="E65" s="50">
        <f t="shared" ref="E65:AJ65" si="104">E18*sal_eng*(1+raise_pct)^E9*(1+oncost_pct)/12</f>
        <v>56000</v>
      </c>
      <c r="F65" s="50">
        <f t="shared" si="104"/>
        <v>56000</v>
      </c>
      <c r="G65" s="50">
        <f t="shared" si="104"/>
        <v>84000</v>
      </c>
      <c r="H65" s="50">
        <f t="shared" si="104"/>
        <v>84000</v>
      </c>
      <c r="I65" s="50">
        <f t="shared" si="104"/>
        <v>84000</v>
      </c>
      <c r="J65" s="50">
        <f t="shared" si="104"/>
        <v>84000</v>
      </c>
      <c r="K65" s="50">
        <f t="shared" si="104"/>
        <v>84000</v>
      </c>
      <c r="L65" s="50">
        <f t="shared" si="104"/>
        <v>98000</v>
      </c>
      <c r="M65" s="50">
        <f t="shared" si="104"/>
        <v>98000</v>
      </c>
      <c r="N65" s="50">
        <f t="shared" si="104"/>
        <v>98000</v>
      </c>
      <c r="O65" s="50">
        <f t="shared" si="104"/>
        <v>98000</v>
      </c>
      <c r="P65" s="50">
        <f t="shared" si="104"/>
        <v>98000</v>
      </c>
      <c r="Q65" s="50">
        <f t="shared" si="104"/>
        <v>115360</v>
      </c>
      <c r="R65" s="50">
        <f t="shared" si="104"/>
        <v>115360</v>
      </c>
      <c r="S65" s="50">
        <f t="shared" si="104"/>
        <v>115360</v>
      </c>
      <c r="T65" s="50">
        <f t="shared" si="104"/>
        <v>115360</v>
      </c>
      <c r="U65" s="50">
        <f t="shared" si="104"/>
        <v>115360</v>
      </c>
      <c r="V65" s="50">
        <f t="shared" si="104"/>
        <v>129780</v>
      </c>
      <c r="W65" s="50">
        <f t="shared" si="104"/>
        <v>129780</v>
      </c>
      <c r="X65" s="50">
        <f t="shared" si="104"/>
        <v>129780</v>
      </c>
      <c r="Y65" s="50">
        <f t="shared" si="104"/>
        <v>144200</v>
      </c>
      <c r="Z65" s="50">
        <f t="shared" si="104"/>
        <v>158620</v>
      </c>
      <c r="AA65" s="50">
        <f t="shared" si="104"/>
        <v>158620</v>
      </c>
      <c r="AB65" s="50">
        <f t="shared" si="104"/>
        <v>158620</v>
      </c>
      <c r="AC65" s="50">
        <f t="shared" si="104"/>
        <v>163378.6</v>
      </c>
      <c r="AD65" s="50">
        <f t="shared" si="104"/>
        <v>178231.19999999998</v>
      </c>
      <c r="AE65" s="50">
        <f t="shared" si="104"/>
        <v>178231.19999999998</v>
      </c>
      <c r="AF65" s="50">
        <f t="shared" si="104"/>
        <v>193083.80000000002</v>
      </c>
      <c r="AG65" s="50">
        <f t="shared" si="104"/>
        <v>193083.80000000002</v>
      </c>
      <c r="AH65" s="50">
        <f t="shared" si="104"/>
        <v>207936.4</v>
      </c>
      <c r="AI65" s="50">
        <f t="shared" si="104"/>
        <v>222789</v>
      </c>
      <c r="AJ65" s="50">
        <f t="shared" si="104"/>
        <v>222789</v>
      </c>
      <c r="AK65" s="50">
        <f t="shared" ref="AK65:BL65" si="105">AK18*sal_eng*(1+raise_pct)^AK9*(1+oncost_pct)/12</f>
        <v>237641.59999999998</v>
      </c>
      <c r="AL65" s="50">
        <f t="shared" si="105"/>
        <v>237641.59999999998</v>
      </c>
      <c r="AM65" s="50">
        <f t="shared" si="105"/>
        <v>252494.19999999998</v>
      </c>
      <c r="AN65" s="50">
        <f t="shared" si="105"/>
        <v>267346.8</v>
      </c>
      <c r="AO65" s="50">
        <f t="shared" si="105"/>
        <v>275367.20399999997</v>
      </c>
      <c r="AP65" s="50">
        <f t="shared" si="105"/>
        <v>290665.38199999998</v>
      </c>
      <c r="AQ65" s="50">
        <f t="shared" si="105"/>
        <v>305963.56</v>
      </c>
      <c r="AR65" s="50">
        <f t="shared" si="105"/>
        <v>305963.56</v>
      </c>
      <c r="AS65" s="50">
        <f t="shared" si="105"/>
        <v>321261.73799999995</v>
      </c>
      <c r="AT65" s="50">
        <f t="shared" si="105"/>
        <v>336559.91600000003</v>
      </c>
      <c r="AU65" s="50">
        <f t="shared" si="105"/>
        <v>336559.91600000003</v>
      </c>
      <c r="AV65" s="50">
        <f t="shared" si="105"/>
        <v>351858.09399999998</v>
      </c>
      <c r="AW65" s="50">
        <f t="shared" si="105"/>
        <v>367156.27200000006</v>
      </c>
      <c r="AX65" s="50">
        <f t="shared" si="105"/>
        <v>367156.27200000006</v>
      </c>
      <c r="AY65" s="50">
        <f t="shared" si="105"/>
        <v>382454.44999999995</v>
      </c>
      <c r="AZ65" s="50">
        <f t="shared" si="105"/>
        <v>397752.62799999997</v>
      </c>
      <c r="BA65" s="50">
        <f t="shared" si="105"/>
        <v>409685.20683999994</v>
      </c>
      <c r="BB65" s="50">
        <f t="shared" si="105"/>
        <v>425442.33017999999</v>
      </c>
      <c r="BC65" s="50">
        <f t="shared" si="105"/>
        <v>425442.33017999999</v>
      </c>
      <c r="BD65" s="50">
        <f t="shared" si="105"/>
        <v>441199.45351999998</v>
      </c>
      <c r="BE65" s="50">
        <f t="shared" si="105"/>
        <v>441199.45351999998</v>
      </c>
      <c r="BF65" s="50">
        <f t="shared" si="105"/>
        <v>456956.57685999997</v>
      </c>
      <c r="BG65" s="50">
        <f t="shared" si="105"/>
        <v>472713.7001999999</v>
      </c>
      <c r="BH65" s="50">
        <f t="shared" si="105"/>
        <v>472713.7001999999</v>
      </c>
      <c r="BI65" s="50">
        <f t="shared" si="105"/>
        <v>488470.82353999995</v>
      </c>
      <c r="BJ65" s="50">
        <f t="shared" si="105"/>
        <v>488470.82353999995</v>
      </c>
      <c r="BK65" s="50">
        <f t="shared" si="105"/>
        <v>504227.94687999994</v>
      </c>
      <c r="BL65" s="50">
        <f t="shared" si="105"/>
        <v>519985.07021999988</v>
      </c>
    </row>
    <row r="66" spans="1:64" x14ac:dyDescent="0.25">
      <c r="A66" s="44" t="s">
        <v>504</v>
      </c>
      <c r="B66" s="10" t="s">
        <v>83</v>
      </c>
      <c r="E66" s="51">
        <f t="shared" ref="E66:AJ66" si="106">E65</f>
        <v>56000</v>
      </c>
      <c r="F66" s="51">
        <f t="shared" si="106"/>
        <v>56000</v>
      </c>
      <c r="G66" s="51">
        <f t="shared" si="106"/>
        <v>84000</v>
      </c>
      <c r="H66" s="51">
        <f t="shared" si="106"/>
        <v>84000</v>
      </c>
      <c r="I66" s="51">
        <f t="shared" si="106"/>
        <v>84000</v>
      </c>
      <c r="J66" s="51">
        <f t="shared" si="106"/>
        <v>84000</v>
      </c>
      <c r="K66" s="51">
        <f t="shared" si="106"/>
        <v>84000</v>
      </c>
      <c r="L66" s="51">
        <f t="shared" si="106"/>
        <v>98000</v>
      </c>
      <c r="M66" s="51">
        <f t="shared" si="106"/>
        <v>98000</v>
      </c>
      <c r="N66" s="51">
        <f t="shared" si="106"/>
        <v>98000</v>
      </c>
      <c r="O66" s="51">
        <f t="shared" si="106"/>
        <v>98000</v>
      </c>
      <c r="P66" s="51">
        <f t="shared" si="106"/>
        <v>98000</v>
      </c>
      <c r="Q66" s="51">
        <f t="shared" si="106"/>
        <v>115360</v>
      </c>
      <c r="R66" s="51">
        <f t="shared" si="106"/>
        <v>115360</v>
      </c>
      <c r="S66" s="51">
        <f t="shared" si="106"/>
        <v>115360</v>
      </c>
      <c r="T66" s="51">
        <f t="shared" si="106"/>
        <v>115360</v>
      </c>
      <c r="U66" s="51">
        <f t="shared" si="106"/>
        <v>115360</v>
      </c>
      <c r="V66" s="51">
        <f t="shared" si="106"/>
        <v>129780</v>
      </c>
      <c r="W66" s="51">
        <f t="shared" si="106"/>
        <v>129780</v>
      </c>
      <c r="X66" s="51">
        <f t="shared" si="106"/>
        <v>129780</v>
      </c>
      <c r="Y66" s="51">
        <f t="shared" si="106"/>
        <v>144200</v>
      </c>
      <c r="Z66" s="51">
        <f t="shared" si="106"/>
        <v>158620</v>
      </c>
      <c r="AA66" s="51">
        <f t="shared" si="106"/>
        <v>158620</v>
      </c>
      <c r="AB66" s="51">
        <f t="shared" si="106"/>
        <v>158620</v>
      </c>
      <c r="AC66" s="51">
        <f t="shared" si="106"/>
        <v>163378.6</v>
      </c>
      <c r="AD66" s="51">
        <f t="shared" si="106"/>
        <v>178231.19999999998</v>
      </c>
      <c r="AE66" s="51">
        <f t="shared" si="106"/>
        <v>178231.19999999998</v>
      </c>
      <c r="AF66" s="51">
        <f t="shared" si="106"/>
        <v>193083.80000000002</v>
      </c>
      <c r="AG66" s="51">
        <f t="shared" si="106"/>
        <v>193083.80000000002</v>
      </c>
      <c r="AH66" s="51">
        <f t="shared" si="106"/>
        <v>207936.4</v>
      </c>
      <c r="AI66" s="51">
        <f t="shared" si="106"/>
        <v>222789</v>
      </c>
      <c r="AJ66" s="51">
        <f t="shared" si="106"/>
        <v>222789</v>
      </c>
      <c r="AK66" s="51">
        <f t="shared" ref="AK66:BP66" si="107">AK65</f>
        <v>237641.59999999998</v>
      </c>
      <c r="AL66" s="51">
        <f t="shared" si="107"/>
        <v>237641.59999999998</v>
      </c>
      <c r="AM66" s="51">
        <f t="shared" si="107"/>
        <v>252494.19999999998</v>
      </c>
      <c r="AN66" s="51">
        <f t="shared" si="107"/>
        <v>267346.8</v>
      </c>
      <c r="AO66" s="51">
        <f t="shared" si="107"/>
        <v>275367.20399999997</v>
      </c>
      <c r="AP66" s="51">
        <f t="shared" si="107"/>
        <v>290665.38199999998</v>
      </c>
      <c r="AQ66" s="51">
        <f t="shared" si="107"/>
        <v>305963.56</v>
      </c>
      <c r="AR66" s="51">
        <f t="shared" si="107"/>
        <v>305963.56</v>
      </c>
      <c r="AS66" s="51">
        <f t="shared" si="107"/>
        <v>321261.73799999995</v>
      </c>
      <c r="AT66" s="51">
        <f t="shared" si="107"/>
        <v>336559.91600000003</v>
      </c>
      <c r="AU66" s="51">
        <f t="shared" si="107"/>
        <v>336559.91600000003</v>
      </c>
      <c r="AV66" s="51">
        <f t="shared" si="107"/>
        <v>351858.09399999998</v>
      </c>
      <c r="AW66" s="51">
        <f t="shared" si="107"/>
        <v>367156.27200000006</v>
      </c>
      <c r="AX66" s="51">
        <f t="shared" si="107"/>
        <v>367156.27200000006</v>
      </c>
      <c r="AY66" s="51">
        <f t="shared" si="107"/>
        <v>382454.44999999995</v>
      </c>
      <c r="AZ66" s="51">
        <f t="shared" si="107"/>
        <v>397752.62799999997</v>
      </c>
      <c r="BA66" s="51">
        <f t="shared" si="107"/>
        <v>409685.20683999994</v>
      </c>
      <c r="BB66" s="51">
        <f t="shared" si="107"/>
        <v>425442.33017999999</v>
      </c>
      <c r="BC66" s="51">
        <f t="shared" si="107"/>
        <v>425442.33017999999</v>
      </c>
      <c r="BD66" s="51">
        <f t="shared" si="107"/>
        <v>441199.45351999998</v>
      </c>
      <c r="BE66" s="51">
        <f t="shared" si="107"/>
        <v>441199.45351999998</v>
      </c>
      <c r="BF66" s="51">
        <f t="shared" si="107"/>
        <v>456956.57685999997</v>
      </c>
      <c r="BG66" s="51">
        <f t="shared" si="107"/>
        <v>472713.7001999999</v>
      </c>
      <c r="BH66" s="51">
        <f t="shared" si="107"/>
        <v>472713.7001999999</v>
      </c>
      <c r="BI66" s="51">
        <f t="shared" si="107"/>
        <v>488470.82353999995</v>
      </c>
      <c r="BJ66" s="51">
        <f t="shared" si="107"/>
        <v>488470.82353999995</v>
      </c>
      <c r="BK66" s="51">
        <f t="shared" si="107"/>
        <v>504227.94687999994</v>
      </c>
      <c r="BL66" s="51">
        <f t="shared" si="107"/>
        <v>519985.07021999988</v>
      </c>
    </row>
    <row r="67" spans="1:64" x14ac:dyDescent="0.25">
      <c r="A67" s="8" t="s">
        <v>505</v>
      </c>
      <c r="B67" s="10" t="s">
        <v>83</v>
      </c>
      <c r="E67" s="50">
        <f t="shared" ref="E67:AJ67" si="108">E22*sal_ga*(1+raise_pct)^E9*(1+oncost_pct)/12</f>
        <v>12000</v>
      </c>
      <c r="F67" s="50">
        <f t="shared" si="108"/>
        <v>12000</v>
      </c>
      <c r="G67" s="50">
        <f t="shared" si="108"/>
        <v>12000</v>
      </c>
      <c r="H67" s="50">
        <f t="shared" si="108"/>
        <v>12000</v>
      </c>
      <c r="I67" s="50">
        <f t="shared" si="108"/>
        <v>12000</v>
      </c>
      <c r="J67" s="50">
        <f t="shared" si="108"/>
        <v>12000</v>
      </c>
      <c r="K67" s="50">
        <f t="shared" si="108"/>
        <v>12000</v>
      </c>
      <c r="L67" s="50">
        <f t="shared" si="108"/>
        <v>12000</v>
      </c>
      <c r="M67" s="50">
        <f t="shared" si="108"/>
        <v>24000</v>
      </c>
      <c r="N67" s="50">
        <f t="shared" si="108"/>
        <v>24000</v>
      </c>
      <c r="O67" s="50">
        <f t="shared" si="108"/>
        <v>24000</v>
      </c>
      <c r="P67" s="50">
        <f t="shared" si="108"/>
        <v>24000</v>
      </c>
      <c r="Q67" s="50">
        <f t="shared" si="108"/>
        <v>24720</v>
      </c>
      <c r="R67" s="50">
        <f t="shared" si="108"/>
        <v>24720</v>
      </c>
      <c r="S67" s="50">
        <f t="shared" si="108"/>
        <v>24720</v>
      </c>
      <c r="T67" s="50">
        <f t="shared" si="108"/>
        <v>24720</v>
      </c>
      <c r="U67" s="50">
        <f t="shared" si="108"/>
        <v>24720</v>
      </c>
      <c r="V67" s="50">
        <f t="shared" si="108"/>
        <v>24720</v>
      </c>
      <c r="W67" s="50">
        <f t="shared" si="108"/>
        <v>24720</v>
      </c>
      <c r="X67" s="50">
        <f t="shared" si="108"/>
        <v>24720</v>
      </c>
      <c r="Y67" s="50">
        <f t="shared" si="108"/>
        <v>37080</v>
      </c>
      <c r="Z67" s="50">
        <f t="shared" si="108"/>
        <v>37080</v>
      </c>
      <c r="AA67" s="50">
        <f t="shared" si="108"/>
        <v>37080</v>
      </c>
      <c r="AB67" s="50">
        <f t="shared" si="108"/>
        <v>37080</v>
      </c>
      <c r="AC67" s="50">
        <f t="shared" si="108"/>
        <v>38192.400000000001</v>
      </c>
      <c r="AD67" s="50">
        <f t="shared" si="108"/>
        <v>38192.400000000001</v>
      </c>
      <c r="AE67" s="50">
        <f t="shared" si="108"/>
        <v>38192.400000000001</v>
      </c>
      <c r="AF67" s="50">
        <f t="shared" si="108"/>
        <v>50923.200000000004</v>
      </c>
      <c r="AG67" s="50">
        <f t="shared" si="108"/>
        <v>50923.200000000004</v>
      </c>
      <c r="AH67" s="50">
        <f t="shared" si="108"/>
        <v>50923.200000000004</v>
      </c>
      <c r="AI67" s="50">
        <f t="shared" si="108"/>
        <v>50923.200000000004</v>
      </c>
      <c r="AJ67" s="50">
        <f t="shared" si="108"/>
        <v>63654</v>
      </c>
      <c r="AK67" s="50">
        <f t="shared" ref="AK67:BL67" si="109">AK22*sal_ga*(1+raise_pct)^AK9*(1+oncost_pct)/12</f>
        <v>63654</v>
      </c>
      <c r="AL67" s="50">
        <f t="shared" si="109"/>
        <v>63654</v>
      </c>
      <c r="AM67" s="50">
        <f t="shared" si="109"/>
        <v>63654</v>
      </c>
      <c r="AN67" s="50">
        <f t="shared" si="109"/>
        <v>76384.800000000003</v>
      </c>
      <c r="AO67" s="50">
        <f t="shared" si="109"/>
        <v>78676.343999999997</v>
      </c>
      <c r="AP67" s="50">
        <f t="shared" si="109"/>
        <v>78676.343999999997</v>
      </c>
      <c r="AQ67" s="50">
        <f t="shared" si="109"/>
        <v>91789.068000000014</v>
      </c>
      <c r="AR67" s="50">
        <f t="shared" si="109"/>
        <v>91789.068000000014</v>
      </c>
      <c r="AS67" s="50">
        <f t="shared" si="109"/>
        <v>91789.068000000014</v>
      </c>
      <c r="AT67" s="50">
        <f t="shared" si="109"/>
        <v>104901.792</v>
      </c>
      <c r="AU67" s="50">
        <f t="shared" si="109"/>
        <v>104901.792</v>
      </c>
      <c r="AV67" s="50">
        <f t="shared" si="109"/>
        <v>104901.792</v>
      </c>
      <c r="AW67" s="50">
        <f t="shared" si="109"/>
        <v>118014.51599999999</v>
      </c>
      <c r="AX67" s="50">
        <f t="shared" si="109"/>
        <v>118014.51599999999</v>
      </c>
      <c r="AY67" s="50">
        <f t="shared" si="109"/>
        <v>118014.51599999999</v>
      </c>
      <c r="AZ67" s="50">
        <f t="shared" si="109"/>
        <v>131127.24</v>
      </c>
      <c r="BA67" s="50">
        <f t="shared" si="109"/>
        <v>135061.05719999998</v>
      </c>
      <c r="BB67" s="50">
        <f t="shared" si="109"/>
        <v>135061.05719999998</v>
      </c>
      <c r="BC67" s="50">
        <f t="shared" si="109"/>
        <v>148567.16291999997</v>
      </c>
      <c r="BD67" s="50">
        <f t="shared" si="109"/>
        <v>148567.16291999997</v>
      </c>
      <c r="BE67" s="50">
        <f t="shared" si="109"/>
        <v>148567.16291999997</v>
      </c>
      <c r="BF67" s="50">
        <f t="shared" si="109"/>
        <v>162073.26863999997</v>
      </c>
      <c r="BG67" s="50">
        <f t="shared" si="109"/>
        <v>162073.26863999997</v>
      </c>
      <c r="BH67" s="50">
        <f t="shared" si="109"/>
        <v>162073.26863999997</v>
      </c>
      <c r="BI67" s="50">
        <f t="shared" si="109"/>
        <v>175579.37435999999</v>
      </c>
      <c r="BJ67" s="50">
        <f t="shared" si="109"/>
        <v>175579.37435999999</v>
      </c>
      <c r="BK67" s="50">
        <f t="shared" si="109"/>
        <v>175579.37435999999</v>
      </c>
      <c r="BL67" s="50">
        <f t="shared" si="109"/>
        <v>189085.48007999998</v>
      </c>
    </row>
    <row r="68" spans="1:64" x14ac:dyDescent="0.25">
      <c r="A68" s="8" t="s">
        <v>506</v>
      </c>
      <c r="B68" s="10" t="s">
        <v>83</v>
      </c>
      <c r="E68" s="50">
        <f t="shared" ref="E68:AJ68" si="110">E23*per_head_cost</f>
        <v>5400</v>
      </c>
      <c r="F68" s="50">
        <f t="shared" si="110"/>
        <v>5400</v>
      </c>
      <c r="G68" s="50">
        <f t="shared" si="110"/>
        <v>7200</v>
      </c>
      <c r="H68" s="50">
        <f t="shared" si="110"/>
        <v>8100</v>
      </c>
      <c r="I68" s="50">
        <f t="shared" si="110"/>
        <v>8100</v>
      </c>
      <c r="J68" s="50">
        <f t="shared" si="110"/>
        <v>9900</v>
      </c>
      <c r="K68" s="50">
        <f t="shared" si="110"/>
        <v>9900</v>
      </c>
      <c r="L68" s="50">
        <f t="shared" si="110"/>
        <v>10800</v>
      </c>
      <c r="M68" s="50">
        <f t="shared" si="110"/>
        <v>12600</v>
      </c>
      <c r="N68" s="50">
        <f t="shared" si="110"/>
        <v>12600</v>
      </c>
      <c r="O68" s="50">
        <f t="shared" si="110"/>
        <v>13500</v>
      </c>
      <c r="P68" s="50">
        <f t="shared" si="110"/>
        <v>13500</v>
      </c>
      <c r="Q68" s="50">
        <f t="shared" si="110"/>
        <v>15300</v>
      </c>
      <c r="R68" s="50">
        <f t="shared" si="110"/>
        <v>16200</v>
      </c>
      <c r="S68" s="50">
        <f t="shared" si="110"/>
        <v>17100</v>
      </c>
      <c r="T68" s="50">
        <f t="shared" si="110"/>
        <v>18000</v>
      </c>
      <c r="U68" s="50">
        <f t="shared" si="110"/>
        <v>18900</v>
      </c>
      <c r="V68" s="50">
        <f t="shared" si="110"/>
        <v>19800</v>
      </c>
      <c r="W68" s="50">
        <f t="shared" si="110"/>
        <v>19800</v>
      </c>
      <c r="X68" s="50">
        <f t="shared" si="110"/>
        <v>19800</v>
      </c>
      <c r="Y68" s="50">
        <f t="shared" si="110"/>
        <v>23400</v>
      </c>
      <c r="Z68" s="50">
        <f t="shared" si="110"/>
        <v>26100</v>
      </c>
      <c r="AA68" s="50">
        <f t="shared" si="110"/>
        <v>26100</v>
      </c>
      <c r="AB68" s="50">
        <f t="shared" si="110"/>
        <v>26100</v>
      </c>
      <c r="AC68" s="50">
        <f t="shared" si="110"/>
        <v>26100</v>
      </c>
      <c r="AD68" s="50">
        <f t="shared" si="110"/>
        <v>27900</v>
      </c>
      <c r="AE68" s="50">
        <f t="shared" si="110"/>
        <v>28800</v>
      </c>
      <c r="AF68" s="50">
        <f t="shared" si="110"/>
        <v>31500</v>
      </c>
      <c r="AG68" s="50">
        <f t="shared" si="110"/>
        <v>31500</v>
      </c>
      <c r="AH68" s="50">
        <f t="shared" si="110"/>
        <v>35100</v>
      </c>
      <c r="AI68" s="50">
        <f t="shared" si="110"/>
        <v>36000</v>
      </c>
      <c r="AJ68" s="50">
        <f t="shared" si="110"/>
        <v>37800</v>
      </c>
      <c r="AK68" s="50">
        <f t="shared" ref="AK68:BL68" si="111">AK23*per_head_cost</f>
        <v>39600</v>
      </c>
      <c r="AL68" s="50">
        <f t="shared" si="111"/>
        <v>40500</v>
      </c>
      <c r="AM68" s="50">
        <f t="shared" si="111"/>
        <v>41400</v>
      </c>
      <c r="AN68" s="50">
        <f t="shared" si="111"/>
        <v>45900</v>
      </c>
      <c r="AO68" s="50">
        <f t="shared" si="111"/>
        <v>45900</v>
      </c>
      <c r="AP68" s="50">
        <f t="shared" si="111"/>
        <v>48600</v>
      </c>
      <c r="AQ68" s="50">
        <f t="shared" si="111"/>
        <v>51300</v>
      </c>
      <c r="AR68" s="50">
        <f t="shared" si="111"/>
        <v>52200</v>
      </c>
      <c r="AS68" s="50">
        <f t="shared" si="111"/>
        <v>54000</v>
      </c>
      <c r="AT68" s="50">
        <f t="shared" si="111"/>
        <v>58500</v>
      </c>
      <c r="AU68" s="50">
        <f t="shared" si="111"/>
        <v>58500</v>
      </c>
      <c r="AV68" s="50">
        <f t="shared" si="111"/>
        <v>61200</v>
      </c>
      <c r="AW68" s="50">
        <f t="shared" si="111"/>
        <v>63900</v>
      </c>
      <c r="AX68" s="50">
        <f t="shared" si="111"/>
        <v>64800</v>
      </c>
      <c r="AY68" s="50">
        <f t="shared" si="111"/>
        <v>66600</v>
      </c>
      <c r="AZ68" s="50">
        <f t="shared" si="111"/>
        <v>71100</v>
      </c>
      <c r="BA68" s="50">
        <f t="shared" si="111"/>
        <v>71100</v>
      </c>
      <c r="BB68" s="50">
        <f t="shared" si="111"/>
        <v>73800</v>
      </c>
      <c r="BC68" s="50">
        <f t="shared" si="111"/>
        <v>74700</v>
      </c>
      <c r="BD68" s="50">
        <f t="shared" si="111"/>
        <v>77400</v>
      </c>
      <c r="BE68" s="50">
        <f t="shared" si="111"/>
        <v>77400</v>
      </c>
      <c r="BF68" s="50">
        <f t="shared" si="111"/>
        <v>81900</v>
      </c>
      <c r="BG68" s="50">
        <f t="shared" si="111"/>
        <v>83700</v>
      </c>
      <c r="BH68" s="50">
        <f t="shared" si="111"/>
        <v>84600</v>
      </c>
      <c r="BI68" s="50">
        <f t="shared" si="111"/>
        <v>87300</v>
      </c>
      <c r="BJ68" s="50">
        <f t="shared" si="111"/>
        <v>88200</v>
      </c>
      <c r="BK68" s="50">
        <f t="shared" si="111"/>
        <v>90000</v>
      </c>
      <c r="BL68" s="50">
        <f t="shared" si="111"/>
        <v>94500</v>
      </c>
    </row>
    <row r="69" spans="1:64" x14ac:dyDescent="0.25">
      <c r="A69" s="8" t="s">
        <v>507</v>
      </c>
      <c r="B69" s="10" t="s">
        <v>83</v>
      </c>
      <c r="E69" s="50">
        <f t="shared" ref="E69:AJ69" si="112">ga_fixed</f>
        <v>12000</v>
      </c>
      <c r="F69" s="50">
        <f t="shared" si="112"/>
        <v>12000</v>
      </c>
      <c r="G69" s="50">
        <f t="shared" si="112"/>
        <v>12000</v>
      </c>
      <c r="H69" s="50">
        <f t="shared" si="112"/>
        <v>12000</v>
      </c>
      <c r="I69" s="50">
        <f t="shared" si="112"/>
        <v>12000</v>
      </c>
      <c r="J69" s="50">
        <f t="shared" si="112"/>
        <v>12000</v>
      </c>
      <c r="K69" s="50">
        <f t="shared" si="112"/>
        <v>12000</v>
      </c>
      <c r="L69" s="50">
        <f t="shared" si="112"/>
        <v>12000</v>
      </c>
      <c r="M69" s="50">
        <f t="shared" si="112"/>
        <v>12000</v>
      </c>
      <c r="N69" s="50">
        <f t="shared" si="112"/>
        <v>12000</v>
      </c>
      <c r="O69" s="50">
        <f t="shared" si="112"/>
        <v>12000</v>
      </c>
      <c r="P69" s="50">
        <f t="shared" si="112"/>
        <v>12000</v>
      </c>
      <c r="Q69" s="50">
        <f t="shared" si="112"/>
        <v>12000</v>
      </c>
      <c r="R69" s="50">
        <f t="shared" si="112"/>
        <v>12000</v>
      </c>
      <c r="S69" s="50">
        <f t="shared" si="112"/>
        <v>12000</v>
      </c>
      <c r="T69" s="50">
        <f t="shared" si="112"/>
        <v>12000</v>
      </c>
      <c r="U69" s="50">
        <f t="shared" si="112"/>
        <v>12000</v>
      </c>
      <c r="V69" s="50">
        <f t="shared" si="112"/>
        <v>12000</v>
      </c>
      <c r="W69" s="50">
        <f t="shared" si="112"/>
        <v>12000</v>
      </c>
      <c r="X69" s="50">
        <f t="shared" si="112"/>
        <v>12000</v>
      </c>
      <c r="Y69" s="50">
        <f t="shared" si="112"/>
        <v>12000</v>
      </c>
      <c r="Z69" s="50">
        <f t="shared" si="112"/>
        <v>12000</v>
      </c>
      <c r="AA69" s="50">
        <f t="shared" si="112"/>
        <v>12000</v>
      </c>
      <c r="AB69" s="50">
        <f t="shared" si="112"/>
        <v>12000</v>
      </c>
      <c r="AC69" s="50">
        <f t="shared" si="112"/>
        <v>12000</v>
      </c>
      <c r="AD69" s="50">
        <f t="shared" si="112"/>
        <v>12000</v>
      </c>
      <c r="AE69" s="50">
        <f t="shared" si="112"/>
        <v>12000</v>
      </c>
      <c r="AF69" s="50">
        <f t="shared" si="112"/>
        <v>12000</v>
      </c>
      <c r="AG69" s="50">
        <f t="shared" si="112"/>
        <v>12000</v>
      </c>
      <c r="AH69" s="50">
        <f t="shared" si="112"/>
        <v>12000</v>
      </c>
      <c r="AI69" s="50">
        <f t="shared" si="112"/>
        <v>12000</v>
      </c>
      <c r="AJ69" s="50">
        <f t="shared" si="112"/>
        <v>12000</v>
      </c>
      <c r="AK69" s="50">
        <f t="shared" ref="AK69:BL69" si="113">ga_fixed</f>
        <v>12000</v>
      </c>
      <c r="AL69" s="50">
        <f t="shared" si="113"/>
        <v>12000</v>
      </c>
      <c r="AM69" s="50">
        <f t="shared" si="113"/>
        <v>12000</v>
      </c>
      <c r="AN69" s="50">
        <f t="shared" si="113"/>
        <v>12000</v>
      </c>
      <c r="AO69" s="50">
        <f t="shared" si="113"/>
        <v>12000</v>
      </c>
      <c r="AP69" s="50">
        <f t="shared" si="113"/>
        <v>12000</v>
      </c>
      <c r="AQ69" s="50">
        <f t="shared" si="113"/>
        <v>12000</v>
      </c>
      <c r="AR69" s="50">
        <f t="shared" si="113"/>
        <v>12000</v>
      </c>
      <c r="AS69" s="50">
        <f t="shared" si="113"/>
        <v>12000</v>
      </c>
      <c r="AT69" s="50">
        <f t="shared" si="113"/>
        <v>12000</v>
      </c>
      <c r="AU69" s="50">
        <f t="shared" si="113"/>
        <v>12000</v>
      </c>
      <c r="AV69" s="50">
        <f t="shared" si="113"/>
        <v>12000</v>
      </c>
      <c r="AW69" s="50">
        <f t="shared" si="113"/>
        <v>12000</v>
      </c>
      <c r="AX69" s="50">
        <f t="shared" si="113"/>
        <v>12000</v>
      </c>
      <c r="AY69" s="50">
        <f t="shared" si="113"/>
        <v>12000</v>
      </c>
      <c r="AZ69" s="50">
        <f t="shared" si="113"/>
        <v>12000</v>
      </c>
      <c r="BA69" s="50">
        <f t="shared" si="113"/>
        <v>12000</v>
      </c>
      <c r="BB69" s="50">
        <f t="shared" si="113"/>
        <v>12000</v>
      </c>
      <c r="BC69" s="50">
        <f t="shared" si="113"/>
        <v>12000</v>
      </c>
      <c r="BD69" s="50">
        <f t="shared" si="113"/>
        <v>12000</v>
      </c>
      <c r="BE69" s="50">
        <f t="shared" si="113"/>
        <v>12000</v>
      </c>
      <c r="BF69" s="50">
        <f t="shared" si="113"/>
        <v>12000</v>
      </c>
      <c r="BG69" s="50">
        <f t="shared" si="113"/>
        <v>12000</v>
      </c>
      <c r="BH69" s="50">
        <f t="shared" si="113"/>
        <v>12000</v>
      </c>
      <c r="BI69" s="50">
        <f t="shared" si="113"/>
        <v>12000</v>
      </c>
      <c r="BJ69" s="50">
        <f t="shared" si="113"/>
        <v>12000</v>
      </c>
      <c r="BK69" s="50">
        <f t="shared" si="113"/>
        <v>12000</v>
      </c>
      <c r="BL69" s="50">
        <f t="shared" si="113"/>
        <v>12000</v>
      </c>
    </row>
    <row r="70" spans="1:64" x14ac:dyDescent="0.25">
      <c r="A70" s="8" t="s">
        <v>508</v>
      </c>
      <c r="B70" s="10" t="s">
        <v>83</v>
      </c>
      <c r="E70" s="50">
        <f t="shared" ref="E70:AJ70" si="114">IF(E5&gt;=sec_start,sec_monthly,0)+IF(E5=soc1_month,soc1_cost,0)+IF(E5=soc2_month,soc2_cost,0)</f>
        <v>0</v>
      </c>
      <c r="F70" s="50">
        <f t="shared" si="114"/>
        <v>0</v>
      </c>
      <c r="G70" s="50">
        <f t="shared" si="114"/>
        <v>0</v>
      </c>
      <c r="H70" s="50">
        <f t="shared" si="114"/>
        <v>0</v>
      </c>
      <c r="I70" s="50">
        <f t="shared" si="114"/>
        <v>0</v>
      </c>
      <c r="J70" s="50">
        <f t="shared" si="114"/>
        <v>0</v>
      </c>
      <c r="K70" s="50">
        <f t="shared" si="114"/>
        <v>0</v>
      </c>
      <c r="L70" s="50">
        <f t="shared" si="114"/>
        <v>0</v>
      </c>
      <c r="M70" s="50">
        <f t="shared" si="114"/>
        <v>4000</v>
      </c>
      <c r="N70" s="50">
        <f t="shared" si="114"/>
        <v>4000</v>
      </c>
      <c r="O70" s="50">
        <f t="shared" si="114"/>
        <v>4000</v>
      </c>
      <c r="P70" s="50">
        <f t="shared" si="114"/>
        <v>4000</v>
      </c>
      <c r="Q70" s="50">
        <f t="shared" si="114"/>
        <v>4000</v>
      </c>
      <c r="R70" s="50">
        <f t="shared" si="114"/>
        <v>4000</v>
      </c>
      <c r="S70" s="50">
        <f t="shared" si="114"/>
        <v>4000</v>
      </c>
      <c r="T70" s="50">
        <f t="shared" si="114"/>
        <v>4000</v>
      </c>
      <c r="U70" s="50">
        <f t="shared" si="114"/>
        <v>4000</v>
      </c>
      <c r="V70" s="50">
        <f t="shared" si="114"/>
        <v>39000</v>
      </c>
      <c r="W70" s="50">
        <f t="shared" si="114"/>
        <v>4000</v>
      </c>
      <c r="X70" s="50">
        <f t="shared" si="114"/>
        <v>4000</v>
      </c>
      <c r="Y70" s="50">
        <f t="shared" si="114"/>
        <v>4000</v>
      </c>
      <c r="Z70" s="50">
        <f t="shared" si="114"/>
        <v>4000</v>
      </c>
      <c r="AA70" s="50">
        <f t="shared" si="114"/>
        <v>4000</v>
      </c>
      <c r="AB70" s="50">
        <f t="shared" si="114"/>
        <v>4000</v>
      </c>
      <c r="AC70" s="50">
        <f t="shared" si="114"/>
        <v>4000</v>
      </c>
      <c r="AD70" s="50">
        <f t="shared" si="114"/>
        <v>4000</v>
      </c>
      <c r="AE70" s="50">
        <f t="shared" si="114"/>
        <v>4000</v>
      </c>
      <c r="AF70" s="50">
        <f t="shared" si="114"/>
        <v>4000</v>
      </c>
      <c r="AG70" s="50">
        <f t="shared" si="114"/>
        <v>4000</v>
      </c>
      <c r="AH70" s="50">
        <f t="shared" si="114"/>
        <v>59000</v>
      </c>
      <c r="AI70" s="50">
        <f t="shared" si="114"/>
        <v>4000</v>
      </c>
      <c r="AJ70" s="50">
        <f t="shared" si="114"/>
        <v>4000</v>
      </c>
      <c r="AK70" s="50">
        <f t="shared" ref="AK70:BL70" si="115">IF(AK5&gt;=sec_start,sec_monthly,0)+IF(AK5=soc1_month,soc1_cost,0)+IF(AK5=soc2_month,soc2_cost,0)</f>
        <v>4000</v>
      </c>
      <c r="AL70" s="50">
        <f t="shared" si="115"/>
        <v>4000</v>
      </c>
      <c r="AM70" s="50">
        <f t="shared" si="115"/>
        <v>4000</v>
      </c>
      <c r="AN70" s="50">
        <f t="shared" si="115"/>
        <v>4000</v>
      </c>
      <c r="AO70" s="50">
        <f t="shared" si="115"/>
        <v>4000</v>
      </c>
      <c r="AP70" s="50">
        <f t="shared" si="115"/>
        <v>4000</v>
      </c>
      <c r="AQ70" s="50">
        <f t="shared" si="115"/>
        <v>4000</v>
      </c>
      <c r="AR70" s="50">
        <f t="shared" si="115"/>
        <v>4000</v>
      </c>
      <c r="AS70" s="50">
        <f t="shared" si="115"/>
        <v>4000</v>
      </c>
      <c r="AT70" s="50">
        <f t="shared" si="115"/>
        <v>4000</v>
      </c>
      <c r="AU70" s="50">
        <f t="shared" si="115"/>
        <v>4000</v>
      </c>
      <c r="AV70" s="50">
        <f t="shared" si="115"/>
        <v>4000</v>
      </c>
      <c r="AW70" s="50">
        <f t="shared" si="115"/>
        <v>4000</v>
      </c>
      <c r="AX70" s="50">
        <f t="shared" si="115"/>
        <v>4000</v>
      </c>
      <c r="AY70" s="50">
        <f t="shared" si="115"/>
        <v>4000</v>
      </c>
      <c r="AZ70" s="50">
        <f t="shared" si="115"/>
        <v>4000</v>
      </c>
      <c r="BA70" s="50">
        <f t="shared" si="115"/>
        <v>4000</v>
      </c>
      <c r="BB70" s="50">
        <f t="shared" si="115"/>
        <v>4000</v>
      </c>
      <c r="BC70" s="50">
        <f t="shared" si="115"/>
        <v>4000</v>
      </c>
      <c r="BD70" s="50">
        <f t="shared" si="115"/>
        <v>4000</v>
      </c>
      <c r="BE70" s="50">
        <f t="shared" si="115"/>
        <v>4000</v>
      </c>
      <c r="BF70" s="50">
        <f t="shared" si="115"/>
        <v>4000</v>
      </c>
      <c r="BG70" s="50">
        <f t="shared" si="115"/>
        <v>4000</v>
      </c>
      <c r="BH70" s="50">
        <f t="shared" si="115"/>
        <v>4000</v>
      </c>
      <c r="BI70" s="50">
        <f t="shared" si="115"/>
        <v>4000</v>
      </c>
      <c r="BJ70" s="50">
        <f t="shared" si="115"/>
        <v>4000</v>
      </c>
      <c r="BK70" s="50">
        <f t="shared" si="115"/>
        <v>4000</v>
      </c>
      <c r="BL70" s="50">
        <f t="shared" si="115"/>
        <v>4000</v>
      </c>
    </row>
    <row r="71" spans="1:64" x14ac:dyDescent="0.25">
      <c r="A71" s="44" t="s">
        <v>509</v>
      </c>
      <c r="B71" s="10" t="s">
        <v>83</v>
      </c>
      <c r="E71" s="51">
        <f t="shared" ref="E71:AJ71" si="116">SUM(E67:E70)</f>
        <v>29400</v>
      </c>
      <c r="F71" s="51">
        <f t="shared" si="116"/>
        <v>29400</v>
      </c>
      <c r="G71" s="51">
        <f t="shared" si="116"/>
        <v>31200</v>
      </c>
      <c r="H71" s="51">
        <f t="shared" si="116"/>
        <v>32100</v>
      </c>
      <c r="I71" s="51">
        <f t="shared" si="116"/>
        <v>32100</v>
      </c>
      <c r="J71" s="51">
        <f t="shared" si="116"/>
        <v>33900</v>
      </c>
      <c r="K71" s="51">
        <f t="shared" si="116"/>
        <v>33900</v>
      </c>
      <c r="L71" s="51">
        <f t="shared" si="116"/>
        <v>34800</v>
      </c>
      <c r="M71" s="51">
        <f t="shared" si="116"/>
        <v>52600</v>
      </c>
      <c r="N71" s="51">
        <f t="shared" si="116"/>
        <v>52600</v>
      </c>
      <c r="O71" s="51">
        <f t="shared" si="116"/>
        <v>53500</v>
      </c>
      <c r="P71" s="51">
        <f t="shared" si="116"/>
        <v>53500</v>
      </c>
      <c r="Q71" s="51">
        <f t="shared" si="116"/>
        <v>56020</v>
      </c>
      <c r="R71" s="51">
        <f t="shared" si="116"/>
        <v>56920</v>
      </c>
      <c r="S71" s="51">
        <f t="shared" si="116"/>
        <v>57820</v>
      </c>
      <c r="T71" s="51">
        <f t="shared" si="116"/>
        <v>58720</v>
      </c>
      <c r="U71" s="51">
        <f t="shared" si="116"/>
        <v>59620</v>
      </c>
      <c r="V71" s="51">
        <f t="shared" si="116"/>
        <v>95520</v>
      </c>
      <c r="W71" s="51">
        <f t="shared" si="116"/>
        <v>60520</v>
      </c>
      <c r="X71" s="51">
        <f t="shared" si="116"/>
        <v>60520</v>
      </c>
      <c r="Y71" s="51">
        <f t="shared" si="116"/>
        <v>76480</v>
      </c>
      <c r="Z71" s="51">
        <f t="shared" si="116"/>
        <v>79180</v>
      </c>
      <c r="AA71" s="51">
        <f t="shared" si="116"/>
        <v>79180</v>
      </c>
      <c r="AB71" s="51">
        <f t="shared" si="116"/>
        <v>79180</v>
      </c>
      <c r="AC71" s="51">
        <f t="shared" si="116"/>
        <v>80292.399999999994</v>
      </c>
      <c r="AD71" s="51">
        <f t="shared" si="116"/>
        <v>82092.399999999994</v>
      </c>
      <c r="AE71" s="51">
        <f t="shared" si="116"/>
        <v>82992.399999999994</v>
      </c>
      <c r="AF71" s="51">
        <f t="shared" si="116"/>
        <v>98423.200000000012</v>
      </c>
      <c r="AG71" s="51">
        <f t="shared" si="116"/>
        <v>98423.200000000012</v>
      </c>
      <c r="AH71" s="51">
        <f t="shared" si="116"/>
        <v>157023.20000000001</v>
      </c>
      <c r="AI71" s="51">
        <f t="shared" si="116"/>
        <v>102923.20000000001</v>
      </c>
      <c r="AJ71" s="51">
        <f t="shared" si="116"/>
        <v>117454</v>
      </c>
      <c r="AK71" s="51">
        <f t="shared" ref="AK71:BP71" si="117">SUM(AK67:AK70)</f>
        <v>119254</v>
      </c>
      <c r="AL71" s="51">
        <f t="shared" si="117"/>
        <v>120154</v>
      </c>
      <c r="AM71" s="51">
        <f t="shared" si="117"/>
        <v>121054</v>
      </c>
      <c r="AN71" s="51">
        <f t="shared" si="117"/>
        <v>138284.79999999999</v>
      </c>
      <c r="AO71" s="51">
        <f t="shared" si="117"/>
        <v>140576.34399999998</v>
      </c>
      <c r="AP71" s="51">
        <f t="shared" si="117"/>
        <v>143276.34399999998</v>
      </c>
      <c r="AQ71" s="51">
        <f t="shared" si="117"/>
        <v>159089.06800000003</v>
      </c>
      <c r="AR71" s="51">
        <f t="shared" si="117"/>
        <v>159989.06800000003</v>
      </c>
      <c r="AS71" s="51">
        <f t="shared" si="117"/>
        <v>161789.06800000003</v>
      </c>
      <c r="AT71" s="51">
        <f t="shared" si="117"/>
        <v>179401.79200000002</v>
      </c>
      <c r="AU71" s="51">
        <f t="shared" si="117"/>
        <v>179401.79200000002</v>
      </c>
      <c r="AV71" s="51">
        <f t="shared" si="117"/>
        <v>182101.79200000002</v>
      </c>
      <c r="AW71" s="51">
        <f t="shared" si="117"/>
        <v>197914.516</v>
      </c>
      <c r="AX71" s="51">
        <f t="shared" si="117"/>
        <v>198814.516</v>
      </c>
      <c r="AY71" s="51">
        <f t="shared" si="117"/>
        <v>200614.516</v>
      </c>
      <c r="AZ71" s="51">
        <f t="shared" si="117"/>
        <v>218227.24</v>
      </c>
      <c r="BA71" s="51">
        <f t="shared" si="117"/>
        <v>222161.05719999998</v>
      </c>
      <c r="BB71" s="51">
        <f t="shared" si="117"/>
        <v>224861.05719999998</v>
      </c>
      <c r="BC71" s="51">
        <f t="shared" si="117"/>
        <v>239267.16291999997</v>
      </c>
      <c r="BD71" s="51">
        <f t="shared" si="117"/>
        <v>241967.16291999997</v>
      </c>
      <c r="BE71" s="51">
        <f t="shared" si="117"/>
        <v>241967.16291999997</v>
      </c>
      <c r="BF71" s="51">
        <f t="shared" si="117"/>
        <v>259973.26863999997</v>
      </c>
      <c r="BG71" s="51">
        <f t="shared" si="117"/>
        <v>261773.26863999997</v>
      </c>
      <c r="BH71" s="51">
        <f t="shared" si="117"/>
        <v>262673.26863999997</v>
      </c>
      <c r="BI71" s="51">
        <f t="shared" si="117"/>
        <v>278879.37436000002</v>
      </c>
      <c r="BJ71" s="51">
        <f t="shared" si="117"/>
        <v>279779.37436000002</v>
      </c>
      <c r="BK71" s="51">
        <f t="shared" si="117"/>
        <v>281579.37436000002</v>
      </c>
      <c r="BL71" s="51">
        <f t="shared" si="117"/>
        <v>299585.48008000001</v>
      </c>
    </row>
    <row r="72" spans="1:64" x14ac:dyDescent="0.25">
      <c r="A72" s="44" t="s">
        <v>510</v>
      </c>
      <c r="B72" s="10" t="s">
        <v>83</v>
      </c>
      <c r="E72" s="51">
        <f t="shared" ref="E72:AJ72" si="118">E64+E66+E71</f>
        <v>108625</v>
      </c>
      <c r="F72" s="51">
        <f t="shared" si="118"/>
        <v>108850</v>
      </c>
      <c r="G72" s="51">
        <f t="shared" si="118"/>
        <v>138875</v>
      </c>
      <c r="H72" s="51">
        <f t="shared" si="118"/>
        <v>152125</v>
      </c>
      <c r="I72" s="51">
        <f t="shared" si="118"/>
        <v>153475</v>
      </c>
      <c r="J72" s="51">
        <f t="shared" si="118"/>
        <v>169875</v>
      </c>
      <c r="K72" s="51">
        <f t="shared" si="118"/>
        <v>168975</v>
      </c>
      <c r="L72" s="51">
        <f t="shared" si="118"/>
        <v>186350</v>
      </c>
      <c r="M72" s="51">
        <f t="shared" si="118"/>
        <v>219875</v>
      </c>
      <c r="N72" s="51">
        <f t="shared" si="118"/>
        <v>222350</v>
      </c>
      <c r="O72" s="51">
        <f t="shared" si="118"/>
        <v>225725</v>
      </c>
      <c r="P72" s="51">
        <f t="shared" si="118"/>
        <v>228200</v>
      </c>
      <c r="Q72" s="51">
        <f t="shared" si="118"/>
        <v>262875</v>
      </c>
      <c r="R72" s="51">
        <f t="shared" si="118"/>
        <v>278480</v>
      </c>
      <c r="S72" s="51">
        <f t="shared" si="118"/>
        <v>296335</v>
      </c>
      <c r="T72" s="51">
        <f t="shared" si="118"/>
        <v>314190</v>
      </c>
      <c r="U72" s="51">
        <f t="shared" si="118"/>
        <v>318465</v>
      </c>
      <c r="V72" s="51">
        <f t="shared" si="118"/>
        <v>372160</v>
      </c>
      <c r="W72" s="51">
        <f t="shared" si="118"/>
        <v>333785</v>
      </c>
      <c r="X72" s="51">
        <f t="shared" si="118"/>
        <v>334910</v>
      </c>
      <c r="Y72" s="51">
        <f t="shared" si="118"/>
        <v>391325</v>
      </c>
      <c r="Z72" s="51">
        <f t="shared" si="118"/>
        <v>423150</v>
      </c>
      <c r="AA72" s="51">
        <f t="shared" si="118"/>
        <v>426525</v>
      </c>
      <c r="AB72" s="51">
        <f t="shared" si="118"/>
        <v>429900</v>
      </c>
      <c r="AC72" s="51">
        <f t="shared" si="118"/>
        <v>442545</v>
      </c>
      <c r="AD72" s="51">
        <f t="shared" si="118"/>
        <v>476492.5</v>
      </c>
      <c r="AE72" s="51">
        <f t="shared" si="118"/>
        <v>483017.5</v>
      </c>
      <c r="AF72" s="51">
        <f t="shared" si="118"/>
        <v>532845.80000000005</v>
      </c>
      <c r="AG72" s="51">
        <f t="shared" si="118"/>
        <v>538470.80000000005</v>
      </c>
      <c r="AH72" s="51">
        <f t="shared" si="118"/>
        <v>640888.19999999995</v>
      </c>
      <c r="AI72" s="51">
        <f t="shared" si="118"/>
        <v>607265.80000000005</v>
      </c>
      <c r="AJ72" s="51">
        <f t="shared" si="118"/>
        <v>639091.5</v>
      </c>
      <c r="AK72" s="51">
        <f t="shared" ref="AK72:BP72" si="119">AK64+AK66+AK71</f>
        <v>661369.1</v>
      </c>
      <c r="AL72" s="51">
        <f t="shared" si="119"/>
        <v>679564</v>
      </c>
      <c r="AM72" s="51">
        <f t="shared" si="119"/>
        <v>700941.6</v>
      </c>
      <c r="AN72" s="51">
        <f t="shared" si="119"/>
        <v>759739.8</v>
      </c>
      <c r="AO72" s="51">
        <f t="shared" si="119"/>
        <v>779728.49399999995</v>
      </c>
      <c r="AP72" s="51">
        <f t="shared" si="119"/>
        <v>813121.66899999999</v>
      </c>
      <c r="AQ72" s="51">
        <f t="shared" si="119"/>
        <v>861877.56799999997</v>
      </c>
      <c r="AR72" s="51">
        <f t="shared" si="119"/>
        <v>868402.56799999997</v>
      </c>
      <c r="AS72" s="51">
        <f t="shared" si="119"/>
        <v>905395.74300000002</v>
      </c>
      <c r="AT72" s="51">
        <f t="shared" si="119"/>
        <v>970221.63900000008</v>
      </c>
      <c r="AU72" s="51">
        <f t="shared" si="119"/>
        <v>975846.63900000008</v>
      </c>
      <c r="AV72" s="51">
        <f t="shared" si="119"/>
        <v>1013739.814</v>
      </c>
      <c r="AW72" s="51">
        <f t="shared" si="119"/>
        <v>1064745.713</v>
      </c>
      <c r="AX72" s="51">
        <f t="shared" si="119"/>
        <v>1071270.713</v>
      </c>
      <c r="AY72" s="51">
        <f t="shared" si="119"/>
        <v>1106013.888</v>
      </c>
      <c r="AZ72" s="51">
        <f t="shared" si="119"/>
        <v>1166339.784</v>
      </c>
      <c r="BA72" s="51">
        <f t="shared" si="119"/>
        <v>1193427.9775199997</v>
      </c>
      <c r="BB72" s="51">
        <f t="shared" si="119"/>
        <v>1227640.69777</v>
      </c>
      <c r="BC72" s="51">
        <f t="shared" si="119"/>
        <v>1245421.8034900001</v>
      </c>
      <c r="BD72" s="51">
        <f t="shared" si="119"/>
        <v>1281884.5237399999</v>
      </c>
      <c r="BE72" s="51">
        <f t="shared" si="119"/>
        <v>1287509.5237399999</v>
      </c>
      <c r="BF72" s="51">
        <f t="shared" si="119"/>
        <v>1351658.9466199998</v>
      </c>
      <c r="BG72" s="51">
        <f t="shared" si="119"/>
        <v>1374841.0699599998</v>
      </c>
      <c r="BH72" s="51">
        <f t="shared" si="119"/>
        <v>1393746.6668699998</v>
      </c>
      <c r="BI72" s="51">
        <f t="shared" si="119"/>
        <v>1431334.8959299999</v>
      </c>
      <c r="BJ72" s="51">
        <f t="shared" si="119"/>
        <v>1450240.49284</v>
      </c>
      <c r="BK72" s="51">
        <f t="shared" si="119"/>
        <v>1473422.6161799999</v>
      </c>
      <c r="BL72" s="51">
        <f t="shared" si="119"/>
        <v>1535322.0390599999</v>
      </c>
    </row>
    <row r="73" spans="1:64" x14ac:dyDescent="0.25">
      <c r="A73" s="19" t="s">
        <v>511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</row>
    <row r="74" spans="1:64" x14ac:dyDescent="0.25">
      <c r="A74" s="44" t="s">
        <v>512</v>
      </c>
      <c r="B74" s="10" t="s">
        <v>83</v>
      </c>
      <c r="E74" s="51">
        <f t="shared" ref="E74:AJ74" si="120">E58-E72</f>
        <v>-100120.73134</v>
      </c>
      <c r="F74" s="51">
        <f t="shared" si="120"/>
        <v>-94611.371655759605</v>
      </c>
      <c r="G74" s="51">
        <f t="shared" si="120"/>
        <v>-118853.26491203721</v>
      </c>
      <c r="H74" s="51">
        <f t="shared" si="120"/>
        <v>-126271.60788854235</v>
      </c>
      <c r="I74" s="51">
        <f t="shared" si="120"/>
        <v>-121383.56010239238</v>
      </c>
      <c r="J74" s="51">
        <f t="shared" si="120"/>
        <v>-139140.74365928542</v>
      </c>
      <c r="K74" s="51">
        <f t="shared" si="120"/>
        <v>-130478.70140757838</v>
      </c>
      <c r="L74" s="51">
        <f t="shared" si="120"/>
        <v>-140409.04255728779</v>
      </c>
      <c r="M74" s="51">
        <f t="shared" si="120"/>
        <v>-165731.3960875051</v>
      </c>
      <c r="N74" s="51">
        <f t="shared" si="120"/>
        <v>-158532.71299885976</v>
      </c>
      <c r="O74" s="51">
        <f t="shared" si="120"/>
        <v>-159484.93224570958</v>
      </c>
      <c r="P74" s="51">
        <f t="shared" si="120"/>
        <v>-150791.04328430098</v>
      </c>
      <c r="Q74" s="51">
        <f t="shared" si="120"/>
        <v>-169133.41939117515</v>
      </c>
      <c r="R74" s="51">
        <f t="shared" si="120"/>
        <v>-171512.37429058165</v>
      </c>
      <c r="S74" s="51">
        <f t="shared" si="120"/>
        <v>-175071.27193953167</v>
      </c>
      <c r="T74" s="51">
        <f t="shared" si="120"/>
        <v>-176815.81355598028</v>
      </c>
      <c r="U74" s="51">
        <f t="shared" si="120"/>
        <v>-171413.24145763734</v>
      </c>
      <c r="V74" s="51">
        <f t="shared" si="120"/>
        <v>-206139.34179258082</v>
      </c>
      <c r="W74" s="51">
        <f t="shared" si="120"/>
        <v>-147748.31490990819</v>
      </c>
      <c r="X74" s="51">
        <f t="shared" si="120"/>
        <v>-130060.06076920824</v>
      </c>
      <c r="Y74" s="51">
        <f t="shared" si="120"/>
        <v>-167362.64581733764</v>
      </c>
      <c r="Z74" s="51">
        <f t="shared" si="120"/>
        <v>-187268.69848894712</v>
      </c>
      <c r="AA74" s="51">
        <f t="shared" si="120"/>
        <v>-169442.40022338013</v>
      </c>
      <c r="AB74" s="51">
        <f t="shared" si="120"/>
        <v>-150577.91615815734</v>
      </c>
      <c r="AC74" s="51">
        <f t="shared" si="120"/>
        <v>-125533.66520157969</v>
      </c>
      <c r="AD74" s="51">
        <f t="shared" si="120"/>
        <v>-134071.59631453344</v>
      </c>
      <c r="AE74" s="51">
        <f t="shared" si="120"/>
        <v>-121819.10441713303</v>
      </c>
      <c r="AF74" s="51">
        <f t="shared" si="120"/>
        <v>-142535.00367398979</v>
      </c>
      <c r="AG74" s="51">
        <f t="shared" si="120"/>
        <v>-116424.60558811494</v>
      </c>
      <c r="AH74" s="51">
        <f t="shared" si="120"/>
        <v>-193763.96451128169</v>
      </c>
      <c r="AI74" s="51">
        <f t="shared" si="120"/>
        <v>-124753.79599969491</v>
      </c>
      <c r="AJ74" s="51">
        <f t="shared" si="120"/>
        <v>-119376.48704446328</v>
      </c>
      <c r="AK74" s="51">
        <f t="shared" ref="AK74:BL74" si="121">AK58-AK72</f>
        <v>-111130.29617621528</v>
      </c>
      <c r="AL74" s="51">
        <f t="shared" si="121"/>
        <v>-88513.45356940059</v>
      </c>
      <c r="AM74" s="51">
        <f t="shared" si="121"/>
        <v>-67285.761146281497</v>
      </c>
      <c r="AN74" s="51">
        <f t="shared" si="121"/>
        <v>-90179.492680614698</v>
      </c>
      <c r="AO74" s="51">
        <f t="shared" si="121"/>
        <v>-30934.62544132513</v>
      </c>
      <c r="AP74" s="51">
        <f t="shared" si="121"/>
        <v>-24571.350584520726</v>
      </c>
      <c r="AQ74" s="51">
        <f t="shared" si="121"/>
        <v>-23795.341727005551</v>
      </c>
      <c r="AR74" s="51">
        <f t="shared" si="121"/>
        <v>12317.689916909207</v>
      </c>
      <c r="AS74" s="51">
        <f t="shared" si="121"/>
        <v>28544.904043042799</v>
      </c>
      <c r="AT74" s="51">
        <f t="shared" si="121"/>
        <v>10849.196328023798</v>
      </c>
      <c r="AU74" s="51">
        <f t="shared" si="121"/>
        <v>63737.205929465941</v>
      </c>
      <c r="AV74" s="51">
        <f t="shared" si="121"/>
        <v>77427.218536782777</v>
      </c>
      <c r="AW74" s="51">
        <f t="shared" si="121"/>
        <v>89369.502597745508</v>
      </c>
      <c r="AX74" s="51">
        <f t="shared" si="121"/>
        <v>139663.5506286337</v>
      </c>
      <c r="AY74" s="51">
        <f t="shared" si="121"/>
        <v>172265.02026631613</v>
      </c>
      <c r="AZ74" s="51">
        <f t="shared" si="121"/>
        <v>172318.58650905685</v>
      </c>
      <c r="BA74" s="51">
        <f t="shared" si="121"/>
        <v>281867.3543558931</v>
      </c>
      <c r="BB74" s="51">
        <f t="shared" si="121"/>
        <v>312064.62931805523</v>
      </c>
      <c r="BC74" s="51">
        <f t="shared" si="121"/>
        <v>368687.51413058513</v>
      </c>
      <c r="BD74" s="51">
        <f t="shared" si="121"/>
        <v>398610.65921542095</v>
      </c>
      <c r="BE74" s="51">
        <f t="shared" si="121"/>
        <v>470213.52360014687</v>
      </c>
      <c r="BF74" s="51">
        <f t="shared" si="121"/>
        <v>476118.45341477729</v>
      </c>
      <c r="BG74" s="51">
        <f t="shared" si="121"/>
        <v>524813.9007785318</v>
      </c>
      <c r="BH74" s="51">
        <f t="shared" si="121"/>
        <v>588605.8511713217</v>
      </c>
      <c r="BI74" s="51">
        <f t="shared" si="121"/>
        <v>626519.72194558219</v>
      </c>
      <c r="BJ74" s="51">
        <f t="shared" si="121"/>
        <v>693921.66392845055</v>
      </c>
      <c r="BK74" s="51">
        <f t="shared" si="121"/>
        <v>749837.15171429841</v>
      </c>
      <c r="BL74" s="51">
        <f t="shared" si="121"/>
        <v>768822.28526760126</v>
      </c>
    </row>
    <row r="75" spans="1:64" x14ac:dyDescent="0.25">
      <c r="A75" s="8" t="s">
        <v>513</v>
      </c>
      <c r="B75" s="10" t="s">
        <v>83</v>
      </c>
      <c r="E75" s="50">
        <f t="shared" ref="E75:AJ75" si="122">E24*capex_per_hire</f>
        <v>0</v>
      </c>
      <c r="F75" s="50">
        <f t="shared" si="122"/>
        <v>0</v>
      </c>
      <c r="G75" s="50">
        <f t="shared" si="122"/>
        <v>5000</v>
      </c>
      <c r="H75" s="50">
        <f t="shared" si="122"/>
        <v>2500</v>
      </c>
      <c r="I75" s="50">
        <f t="shared" si="122"/>
        <v>0</v>
      </c>
      <c r="J75" s="50">
        <f t="shared" si="122"/>
        <v>5000</v>
      </c>
      <c r="K75" s="50">
        <f t="shared" si="122"/>
        <v>0</v>
      </c>
      <c r="L75" s="50">
        <f t="shared" si="122"/>
        <v>2500</v>
      </c>
      <c r="M75" s="50">
        <f t="shared" si="122"/>
        <v>5000</v>
      </c>
      <c r="N75" s="50">
        <f t="shared" si="122"/>
        <v>0</v>
      </c>
      <c r="O75" s="50">
        <f t="shared" si="122"/>
        <v>2500</v>
      </c>
      <c r="P75" s="50">
        <f t="shared" si="122"/>
        <v>0</v>
      </c>
      <c r="Q75" s="50">
        <f t="shared" si="122"/>
        <v>5000</v>
      </c>
      <c r="R75" s="50">
        <f t="shared" si="122"/>
        <v>2500</v>
      </c>
      <c r="S75" s="50">
        <f t="shared" si="122"/>
        <v>2500</v>
      </c>
      <c r="T75" s="50">
        <f t="shared" si="122"/>
        <v>2500</v>
      </c>
      <c r="U75" s="50">
        <f t="shared" si="122"/>
        <v>2500</v>
      </c>
      <c r="V75" s="50">
        <f t="shared" si="122"/>
        <v>2500</v>
      </c>
      <c r="W75" s="50">
        <f t="shared" si="122"/>
        <v>0</v>
      </c>
      <c r="X75" s="50">
        <f t="shared" si="122"/>
        <v>0</v>
      </c>
      <c r="Y75" s="50">
        <f t="shared" si="122"/>
        <v>10000</v>
      </c>
      <c r="Z75" s="50">
        <f t="shared" si="122"/>
        <v>7500</v>
      </c>
      <c r="AA75" s="50">
        <f t="shared" si="122"/>
        <v>0</v>
      </c>
      <c r="AB75" s="50">
        <f t="shared" si="122"/>
        <v>0</v>
      </c>
      <c r="AC75" s="50">
        <f t="shared" si="122"/>
        <v>0</v>
      </c>
      <c r="AD75" s="50">
        <f t="shared" si="122"/>
        <v>5000</v>
      </c>
      <c r="AE75" s="50">
        <f t="shared" si="122"/>
        <v>2500</v>
      </c>
      <c r="AF75" s="50">
        <f t="shared" si="122"/>
        <v>7500</v>
      </c>
      <c r="AG75" s="50">
        <f t="shared" si="122"/>
        <v>0</v>
      </c>
      <c r="AH75" s="50">
        <f t="shared" si="122"/>
        <v>10000</v>
      </c>
      <c r="AI75" s="50">
        <f t="shared" si="122"/>
        <v>2500</v>
      </c>
      <c r="AJ75" s="50">
        <f t="shared" si="122"/>
        <v>5000</v>
      </c>
      <c r="AK75" s="50">
        <f t="shared" ref="AK75:BL75" si="123">AK24*capex_per_hire</f>
        <v>5000</v>
      </c>
      <c r="AL75" s="50">
        <f t="shared" si="123"/>
        <v>2500</v>
      </c>
      <c r="AM75" s="50">
        <f t="shared" si="123"/>
        <v>2500</v>
      </c>
      <c r="AN75" s="50">
        <f t="shared" si="123"/>
        <v>12500</v>
      </c>
      <c r="AO75" s="50">
        <f t="shared" si="123"/>
        <v>0</v>
      </c>
      <c r="AP75" s="50">
        <f t="shared" si="123"/>
        <v>7500</v>
      </c>
      <c r="AQ75" s="50">
        <f t="shared" si="123"/>
        <v>7500</v>
      </c>
      <c r="AR75" s="50">
        <f t="shared" si="123"/>
        <v>2500</v>
      </c>
      <c r="AS75" s="50">
        <f t="shared" si="123"/>
        <v>5000</v>
      </c>
      <c r="AT75" s="50">
        <f t="shared" si="123"/>
        <v>12500</v>
      </c>
      <c r="AU75" s="50">
        <f t="shared" si="123"/>
        <v>0</v>
      </c>
      <c r="AV75" s="50">
        <f t="shared" si="123"/>
        <v>7500</v>
      </c>
      <c r="AW75" s="50">
        <f t="shared" si="123"/>
        <v>7500</v>
      </c>
      <c r="AX75" s="50">
        <f t="shared" si="123"/>
        <v>2500</v>
      </c>
      <c r="AY75" s="50">
        <f t="shared" si="123"/>
        <v>5000</v>
      </c>
      <c r="AZ75" s="50">
        <f t="shared" si="123"/>
        <v>12500</v>
      </c>
      <c r="BA75" s="50">
        <f t="shared" si="123"/>
        <v>0</v>
      </c>
      <c r="BB75" s="50">
        <f t="shared" si="123"/>
        <v>7500</v>
      </c>
      <c r="BC75" s="50">
        <f t="shared" si="123"/>
        <v>2500</v>
      </c>
      <c r="BD75" s="50">
        <f t="shared" si="123"/>
        <v>7500</v>
      </c>
      <c r="BE75" s="50">
        <f t="shared" si="123"/>
        <v>0</v>
      </c>
      <c r="BF75" s="50">
        <f t="shared" si="123"/>
        <v>12500</v>
      </c>
      <c r="BG75" s="50">
        <f t="shared" si="123"/>
        <v>5000</v>
      </c>
      <c r="BH75" s="50">
        <f t="shared" si="123"/>
        <v>2500</v>
      </c>
      <c r="BI75" s="50">
        <f t="shared" si="123"/>
        <v>7500</v>
      </c>
      <c r="BJ75" s="50">
        <f t="shared" si="123"/>
        <v>2500</v>
      </c>
      <c r="BK75" s="50">
        <f t="shared" si="123"/>
        <v>5000</v>
      </c>
      <c r="BL75" s="50">
        <f t="shared" si="123"/>
        <v>12500</v>
      </c>
    </row>
    <row r="76" spans="1:64" x14ac:dyDescent="0.25">
      <c r="A76" s="8" t="s">
        <v>514</v>
      </c>
      <c r="B76" s="10" t="s">
        <v>83</v>
      </c>
      <c r="C76" s="39" t="s">
        <v>515</v>
      </c>
      <c r="E76" s="50">
        <f t="shared" ref="E76:AJ76" si="124">SUMIFS($E$75:$BL$75,$E$5:$BL$5,"&gt;="&amp;(E5-dep_months+1),$E$5:$BL$5,"&lt;="&amp;E5)/dep_months</f>
        <v>0</v>
      </c>
      <c r="F76" s="50">
        <f t="shared" si="124"/>
        <v>0</v>
      </c>
      <c r="G76" s="50">
        <f t="shared" si="124"/>
        <v>138.88888888888889</v>
      </c>
      <c r="H76" s="50">
        <f t="shared" si="124"/>
        <v>208.33333333333334</v>
      </c>
      <c r="I76" s="50">
        <f t="shared" si="124"/>
        <v>208.33333333333334</v>
      </c>
      <c r="J76" s="50">
        <f t="shared" si="124"/>
        <v>347.22222222222223</v>
      </c>
      <c r="K76" s="50">
        <f t="shared" si="124"/>
        <v>347.22222222222223</v>
      </c>
      <c r="L76" s="50">
        <f t="shared" si="124"/>
        <v>416.66666666666669</v>
      </c>
      <c r="M76" s="50">
        <f t="shared" si="124"/>
        <v>555.55555555555554</v>
      </c>
      <c r="N76" s="50">
        <f t="shared" si="124"/>
        <v>555.55555555555554</v>
      </c>
      <c r="O76" s="50">
        <f t="shared" si="124"/>
        <v>625</v>
      </c>
      <c r="P76" s="50">
        <f t="shared" si="124"/>
        <v>625</v>
      </c>
      <c r="Q76" s="50">
        <f t="shared" si="124"/>
        <v>763.88888888888891</v>
      </c>
      <c r="R76" s="50">
        <f t="shared" si="124"/>
        <v>833.33333333333337</v>
      </c>
      <c r="S76" s="50">
        <f t="shared" si="124"/>
        <v>902.77777777777783</v>
      </c>
      <c r="T76" s="50">
        <f t="shared" si="124"/>
        <v>972.22222222222217</v>
      </c>
      <c r="U76" s="50">
        <f t="shared" si="124"/>
        <v>1041.6666666666667</v>
      </c>
      <c r="V76" s="50">
        <f t="shared" si="124"/>
        <v>1111.1111111111111</v>
      </c>
      <c r="W76" s="50">
        <f t="shared" si="124"/>
        <v>1111.1111111111111</v>
      </c>
      <c r="X76" s="50">
        <f t="shared" si="124"/>
        <v>1111.1111111111111</v>
      </c>
      <c r="Y76" s="50">
        <f t="shared" si="124"/>
        <v>1388.8888888888889</v>
      </c>
      <c r="Z76" s="50">
        <f t="shared" si="124"/>
        <v>1597.2222222222222</v>
      </c>
      <c r="AA76" s="50">
        <f t="shared" si="124"/>
        <v>1597.2222222222222</v>
      </c>
      <c r="AB76" s="50">
        <f t="shared" si="124"/>
        <v>1597.2222222222222</v>
      </c>
      <c r="AC76" s="50">
        <f t="shared" si="124"/>
        <v>1597.2222222222222</v>
      </c>
      <c r="AD76" s="50">
        <f t="shared" si="124"/>
        <v>1736.1111111111111</v>
      </c>
      <c r="AE76" s="50">
        <f t="shared" si="124"/>
        <v>1805.5555555555557</v>
      </c>
      <c r="AF76" s="50">
        <f t="shared" si="124"/>
        <v>2013.8888888888889</v>
      </c>
      <c r="AG76" s="50">
        <f t="shared" si="124"/>
        <v>2013.8888888888889</v>
      </c>
      <c r="AH76" s="50">
        <f t="shared" si="124"/>
        <v>2291.6666666666665</v>
      </c>
      <c r="AI76" s="50">
        <f t="shared" si="124"/>
        <v>2361.1111111111113</v>
      </c>
      <c r="AJ76" s="50">
        <f t="shared" si="124"/>
        <v>2500</v>
      </c>
      <c r="AK76" s="50">
        <f t="shared" ref="AK76:BL76" si="125">SUMIFS($E$75:$BL$75,$E$5:$BL$5,"&gt;="&amp;(AK5-dep_months+1),$E$5:$BL$5,"&lt;="&amp;AK5)/dep_months</f>
        <v>2638.8888888888887</v>
      </c>
      <c r="AL76" s="50">
        <f t="shared" si="125"/>
        <v>2708.3333333333335</v>
      </c>
      <c r="AM76" s="50">
        <f t="shared" si="125"/>
        <v>2777.7777777777778</v>
      </c>
      <c r="AN76" s="50">
        <f t="shared" si="125"/>
        <v>3125</v>
      </c>
      <c r="AO76" s="50">
        <f t="shared" si="125"/>
        <v>3125</v>
      </c>
      <c r="AP76" s="50">
        <f t="shared" si="125"/>
        <v>3333.3333333333335</v>
      </c>
      <c r="AQ76" s="50">
        <f t="shared" si="125"/>
        <v>3402.7777777777778</v>
      </c>
      <c r="AR76" s="50">
        <f t="shared" si="125"/>
        <v>3402.7777777777778</v>
      </c>
      <c r="AS76" s="50">
        <f t="shared" si="125"/>
        <v>3541.6666666666665</v>
      </c>
      <c r="AT76" s="50">
        <f t="shared" si="125"/>
        <v>3750</v>
      </c>
      <c r="AU76" s="50">
        <f t="shared" si="125"/>
        <v>3750</v>
      </c>
      <c r="AV76" s="50">
        <f t="shared" si="125"/>
        <v>3888.8888888888887</v>
      </c>
      <c r="AW76" s="50">
        <f t="shared" si="125"/>
        <v>3958.3333333333335</v>
      </c>
      <c r="AX76" s="50">
        <f t="shared" si="125"/>
        <v>4027.7777777777778</v>
      </c>
      <c r="AY76" s="50">
        <f t="shared" si="125"/>
        <v>4097.2222222222226</v>
      </c>
      <c r="AZ76" s="50">
        <f t="shared" si="125"/>
        <v>4444.4444444444443</v>
      </c>
      <c r="BA76" s="50">
        <f t="shared" si="125"/>
        <v>4305.5555555555557</v>
      </c>
      <c r="BB76" s="50">
        <f t="shared" si="125"/>
        <v>4444.4444444444443</v>
      </c>
      <c r="BC76" s="50">
        <f t="shared" si="125"/>
        <v>4444.4444444444443</v>
      </c>
      <c r="BD76" s="50">
        <f t="shared" si="125"/>
        <v>4583.333333333333</v>
      </c>
      <c r="BE76" s="50">
        <f t="shared" si="125"/>
        <v>4513.8888888888887</v>
      </c>
      <c r="BF76" s="50">
        <f t="shared" si="125"/>
        <v>4791.666666666667</v>
      </c>
      <c r="BG76" s="50">
        <f t="shared" si="125"/>
        <v>4930.5555555555557</v>
      </c>
      <c r="BH76" s="50">
        <f t="shared" si="125"/>
        <v>5000</v>
      </c>
      <c r="BI76" s="50">
        <f t="shared" si="125"/>
        <v>4930.5555555555557</v>
      </c>
      <c r="BJ76" s="50">
        <f t="shared" si="125"/>
        <v>4791.666666666667</v>
      </c>
      <c r="BK76" s="50">
        <f t="shared" si="125"/>
        <v>4930.5555555555557</v>
      </c>
      <c r="BL76" s="50">
        <f t="shared" si="125"/>
        <v>5277.7777777777774</v>
      </c>
    </row>
    <row r="77" spans="1:64" x14ac:dyDescent="0.25">
      <c r="A77" s="8" t="s">
        <v>516</v>
      </c>
      <c r="B77" s="10" t="s">
        <v>83</v>
      </c>
      <c r="E77" s="50">
        <f t="shared" ref="E77:AJ77" si="126">E74-E76</f>
        <v>-100120.73134</v>
      </c>
      <c r="F77" s="50">
        <f t="shared" si="126"/>
        <v>-94611.371655759605</v>
      </c>
      <c r="G77" s="50">
        <f t="shared" si="126"/>
        <v>-118992.1538009261</v>
      </c>
      <c r="H77" s="50">
        <f t="shared" si="126"/>
        <v>-126479.94122187568</v>
      </c>
      <c r="I77" s="50">
        <f t="shared" si="126"/>
        <v>-121591.89343572571</v>
      </c>
      <c r="J77" s="50">
        <f t="shared" si="126"/>
        <v>-139487.96588150764</v>
      </c>
      <c r="K77" s="50">
        <f t="shared" si="126"/>
        <v>-130825.9236298006</v>
      </c>
      <c r="L77" s="50">
        <f t="shared" si="126"/>
        <v>-140825.70922395444</v>
      </c>
      <c r="M77" s="50">
        <f t="shared" si="126"/>
        <v>-166286.95164306066</v>
      </c>
      <c r="N77" s="50">
        <f t="shared" si="126"/>
        <v>-159088.26855441532</v>
      </c>
      <c r="O77" s="50">
        <f t="shared" si="126"/>
        <v>-160109.93224570958</v>
      </c>
      <c r="P77" s="50">
        <f t="shared" si="126"/>
        <v>-151416.04328430098</v>
      </c>
      <c r="Q77" s="50">
        <f t="shared" si="126"/>
        <v>-169897.30828006403</v>
      </c>
      <c r="R77" s="50">
        <f t="shared" si="126"/>
        <v>-172345.70762391499</v>
      </c>
      <c r="S77" s="50">
        <f t="shared" si="126"/>
        <v>-175974.04971730945</v>
      </c>
      <c r="T77" s="50">
        <f t="shared" si="126"/>
        <v>-177788.03577820249</v>
      </c>
      <c r="U77" s="50">
        <f t="shared" si="126"/>
        <v>-172454.908124304</v>
      </c>
      <c r="V77" s="50">
        <f t="shared" si="126"/>
        <v>-207250.45290369194</v>
      </c>
      <c r="W77" s="50">
        <f t="shared" si="126"/>
        <v>-148859.42602101932</v>
      </c>
      <c r="X77" s="50">
        <f t="shared" si="126"/>
        <v>-131171.17188031937</v>
      </c>
      <c r="Y77" s="50">
        <f t="shared" si="126"/>
        <v>-168751.53470622652</v>
      </c>
      <c r="Z77" s="50">
        <f t="shared" si="126"/>
        <v>-188865.92071116934</v>
      </c>
      <c r="AA77" s="50">
        <f t="shared" si="126"/>
        <v>-171039.62244560235</v>
      </c>
      <c r="AB77" s="50">
        <f t="shared" si="126"/>
        <v>-152175.13838037956</v>
      </c>
      <c r="AC77" s="50">
        <f t="shared" si="126"/>
        <v>-127130.88742380191</v>
      </c>
      <c r="AD77" s="50">
        <f t="shared" si="126"/>
        <v>-135807.70742564456</v>
      </c>
      <c r="AE77" s="50">
        <f t="shared" si="126"/>
        <v>-123624.65997268859</v>
      </c>
      <c r="AF77" s="50">
        <f t="shared" si="126"/>
        <v>-144548.89256287867</v>
      </c>
      <c r="AG77" s="50">
        <f t="shared" si="126"/>
        <v>-118438.49447700383</v>
      </c>
      <c r="AH77" s="50">
        <f t="shared" si="126"/>
        <v>-196055.63117794835</v>
      </c>
      <c r="AI77" s="50">
        <f t="shared" si="126"/>
        <v>-127114.90711080602</v>
      </c>
      <c r="AJ77" s="50">
        <f t="shared" si="126"/>
        <v>-121876.48704446328</v>
      </c>
      <c r="AK77" s="50">
        <f t="shared" ref="AK77:BP77" si="127">AK74-AK76</f>
        <v>-113769.18506510418</v>
      </c>
      <c r="AL77" s="50">
        <f t="shared" si="127"/>
        <v>-91221.786902733918</v>
      </c>
      <c r="AM77" s="50">
        <f t="shared" si="127"/>
        <v>-70063.538924059278</v>
      </c>
      <c r="AN77" s="50">
        <f t="shared" si="127"/>
        <v>-93304.492680614698</v>
      </c>
      <c r="AO77" s="50">
        <f t="shared" si="127"/>
        <v>-34059.62544132513</v>
      </c>
      <c r="AP77" s="50">
        <f t="shared" si="127"/>
        <v>-27904.683917854058</v>
      </c>
      <c r="AQ77" s="50">
        <f t="shared" si="127"/>
        <v>-27198.119504783328</v>
      </c>
      <c r="AR77" s="50">
        <f t="shared" si="127"/>
        <v>8914.9121391314293</v>
      </c>
      <c r="AS77" s="50">
        <f t="shared" si="127"/>
        <v>25003.237376376132</v>
      </c>
      <c r="AT77" s="50">
        <f t="shared" si="127"/>
        <v>7099.1963280237978</v>
      </c>
      <c r="AU77" s="50">
        <f t="shared" si="127"/>
        <v>59987.205929465941</v>
      </c>
      <c r="AV77" s="50">
        <f t="shared" si="127"/>
        <v>73538.329647893886</v>
      </c>
      <c r="AW77" s="50">
        <f t="shared" si="127"/>
        <v>85411.169264412179</v>
      </c>
      <c r="AX77" s="50">
        <f t="shared" si="127"/>
        <v>135635.77285085592</v>
      </c>
      <c r="AY77" s="50">
        <f t="shared" si="127"/>
        <v>168167.79804409391</v>
      </c>
      <c r="AZ77" s="50">
        <f t="shared" si="127"/>
        <v>167874.14206461242</v>
      </c>
      <c r="BA77" s="50">
        <f t="shared" si="127"/>
        <v>277561.79880033754</v>
      </c>
      <c r="BB77" s="50">
        <f t="shared" si="127"/>
        <v>307620.18487361079</v>
      </c>
      <c r="BC77" s="50">
        <f t="shared" si="127"/>
        <v>364243.06968614069</v>
      </c>
      <c r="BD77" s="50">
        <f t="shared" si="127"/>
        <v>394027.32588208764</v>
      </c>
      <c r="BE77" s="50">
        <f t="shared" si="127"/>
        <v>465699.634711258</v>
      </c>
      <c r="BF77" s="50">
        <f t="shared" si="127"/>
        <v>471326.78674811061</v>
      </c>
      <c r="BG77" s="50">
        <f t="shared" si="127"/>
        <v>519883.34522297623</v>
      </c>
      <c r="BH77" s="50">
        <f t="shared" si="127"/>
        <v>583605.8511713217</v>
      </c>
      <c r="BI77" s="50">
        <f t="shared" si="127"/>
        <v>621589.16639002669</v>
      </c>
      <c r="BJ77" s="50">
        <f t="shared" si="127"/>
        <v>689129.99726178392</v>
      </c>
      <c r="BK77" s="50">
        <f t="shared" si="127"/>
        <v>744906.5961587429</v>
      </c>
      <c r="BL77" s="50">
        <f t="shared" si="127"/>
        <v>763544.5074898235</v>
      </c>
    </row>
    <row r="78" spans="1:64" x14ac:dyDescent="0.25">
      <c r="A78" s="8" t="s">
        <v>517</v>
      </c>
      <c r="B78" s="10" t="s">
        <v>83</v>
      </c>
      <c r="E78" s="50">
        <f t="shared" ref="E78:AJ78" si="128">D89*interest_rate/12</f>
        <v>0</v>
      </c>
      <c r="F78" s="50">
        <f t="shared" si="128"/>
        <v>0</v>
      </c>
      <c r="G78" s="50">
        <f t="shared" si="128"/>
        <v>0</v>
      </c>
      <c r="H78" s="50">
        <f t="shared" si="128"/>
        <v>0</v>
      </c>
      <c r="I78" s="50">
        <f t="shared" si="128"/>
        <v>0</v>
      </c>
      <c r="J78" s="50">
        <f t="shared" si="128"/>
        <v>0</v>
      </c>
      <c r="K78" s="50">
        <f t="shared" si="128"/>
        <v>0</v>
      </c>
      <c r="L78" s="50">
        <f t="shared" si="128"/>
        <v>0</v>
      </c>
      <c r="M78" s="50">
        <f t="shared" si="128"/>
        <v>0</v>
      </c>
      <c r="N78" s="50">
        <f t="shared" si="128"/>
        <v>0</v>
      </c>
      <c r="O78" s="50">
        <f t="shared" si="128"/>
        <v>0</v>
      </c>
      <c r="P78" s="50">
        <f t="shared" si="128"/>
        <v>0</v>
      </c>
      <c r="Q78" s="50">
        <f t="shared" si="128"/>
        <v>0</v>
      </c>
      <c r="R78" s="50">
        <f t="shared" si="128"/>
        <v>0</v>
      </c>
      <c r="S78" s="50">
        <f t="shared" si="128"/>
        <v>0</v>
      </c>
      <c r="T78" s="50">
        <f t="shared" si="128"/>
        <v>0</v>
      </c>
      <c r="U78" s="50">
        <f t="shared" si="128"/>
        <v>0</v>
      </c>
      <c r="V78" s="50">
        <f t="shared" si="128"/>
        <v>0</v>
      </c>
      <c r="W78" s="50">
        <f t="shared" si="128"/>
        <v>0</v>
      </c>
      <c r="X78" s="50">
        <f t="shared" si="128"/>
        <v>0</v>
      </c>
      <c r="Y78" s="50">
        <f t="shared" si="128"/>
        <v>0</v>
      </c>
      <c r="Z78" s="50">
        <f t="shared" si="128"/>
        <v>0</v>
      </c>
      <c r="AA78" s="50">
        <f t="shared" si="128"/>
        <v>0</v>
      </c>
      <c r="AB78" s="50">
        <f t="shared" si="128"/>
        <v>0</v>
      </c>
      <c r="AC78" s="50">
        <f t="shared" si="128"/>
        <v>0</v>
      </c>
      <c r="AD78" s="50">
        <f t="shared" si="128"/>
        <v>0</v>
      </c>
      <c r="AE78" s="50">
        <f t="shared" si="128"/>
        <v>0</v>
      </c>
      <c r="AF78" s="50">
        <f t="shared" si="128"/>
        <v>0</v>
      </c>
      <c r="AG78" s="50">
        <f t="shared" si="128"/>
        <v>0</v>
      </c>
      <c r="AH78" s="50">
        <f t="shared" si="128"/>
        <v>0</v>
      </c>
      <c r="AI78" s="50">
        <f t="shared" si="128"/>
        <v>0</v>
      </c>
      <c r="AJ78" s="50">
        <f t="shared" si="128"/>
        <v>0</v>
      </c>
      <c r="AK78" s="50">
        <f t="shared" ref="AK78:BL78" si="129">AJ89*interest_rate/12</f>
        <v>0</v>
      </c>
      <c r="AL78" s="50">
        <f t="shared" si="129"/>
        <v>0</v>
      </c>
      <c r="AM78" s="50">
        <f t="shared" si="129"/>
        <v>0</v>
      </c>
      <c r="AN78" s="50">
        <f t="shared" si="129"/>
        <v>0</v>
      </c>
      <c r="AO78" s="50">
        <f t="shared" si="129"/>
        <v>0</v>
      </c>
      <c r="AP78" s="50">
        <f t="shared" si="129"/>
        <v>0</v>
      </c>
      <c r="AQ78" s="50">
        <f t="shared" si="129"/>
        <v>0</v>
      </c>
      <c r="AR78" s="50">
        <f t="shared" si="129"/>
        <v>0</v>
      </c>
      <c r="AS78" s="50">
        <f t="shared" si="129"/>
        <v>0</v>
      </c>
      <c r="AT78" s="50">
        <f t="shared" si="129"/>
        <v>0</v>
      </c>
      <c r="AU78" s="50">
        <f t="shared" si="129"/>
        <v>0</v>
      </c>
      <c r="AV78" s="50">
        <f t="shared" si="129"/>
        <v>0</v>
      </c>
      <c r="AW78" s="50">
        <f t="shared" si="129"/>
        <v>0</v>
      </c>
      <c r="AX78" s="50">
        <f t="shared" si="129"/>
        <v>0</v>
      </c>
      <c r="AY78" s="50">
        <f t="shared" si="129"/>
        <v>0</v>
      </c>
      <c r="AZ78" s="50">
        <f t="shared" si="129"/>
        <v>0</v>
      </c>
      <c r="BA78" s="50">
        <f t="shared" si="129"/>
        <v>0</v>
      </c>
      <c r="BB78" s="50">
        <f t="shared" si="129"/>
        <v>0</v>
      </c>
      <c r="BC78" s="50">
        <f t="shared" si="129"/>
        <v>0</v>
      </c>
      <c r="BD78" s="50">
        <f t="shared" si="129"/>
        <v>0</v>
      </c>
      <c r="BE78" s="50">
        <f t="shared" si="129"/>
        <v>0</v>
      </c>
      <c r="BF78" s="50">
        <f t="shared" si="129"/>
        <v>0</v>
      </c>
      <c r="BG78" s="50">
        <f t="shared" si="129"/>
        <v>0</v>
      </c>
      <c r="BH78" s="50">
        <f t="shared" si="129"/>
        <v>0</v>
      </c>
      <c r="BI78" s="50">
        <f t="shared" si="129"/>
        <v>0</v>
      </c>
      <c r="BJ78" s="50">
        <f t="shared" si="129"/>
        <v>0</v>
      </c>
      <c r="BK78" s="50">
        <f t="shared" si="129"/>
        <v>0</v>
      </c>
      <c r="BL78" s="50">
        <f t="shared" si="129"/>
        <v>0</v>
      </c>
    </row>
    <row r="79" spans="1:64" x14ac:dyDescent="0.25">
      <c r="A79" s="8" t="s">
        <v>518</v>
      </c>
      <c r="B79" s="10" t="s">
        <v>83</v>
      </c>
      <c r="E79" s="50">
        <f t="shared" ref="E79:AJ79" si="130">E77+E78</f>
        <v>-100120.73134</v>
      </c>
      <c r="F79" s="50">
        <f t="shared" si="130"/>
        <v>-94611.371655759605</v>
      </c>
      <c r="G79" s="50">
        <f t="shared" si="130"/>
        <v>-118992.1538009261</v>
      </c>
      <c r="H79" s="50">
        <f t="shared" si="130"/>
        <v>-126479.94122187568</v>
      </c>
      <c r="I79" s="50">
        <f t="shared" si="130"/>
        <v>-121591.89343572571</v>
      </c>
      <c r="J79" s="50">
        <f t="shared" si="130"/>
        <v>-139487.96588150764</v>
      </c>
      <c r="K79" s="50">
        <f t="shared" si="130"/>
        <v>-130825.9236298006</v>
      </c>
      <c r="L79" s="50">
        <f t="shared" si="130"/>
        <v>-140825.70922395444</v>
      </c>
      <c r="M79" s="50">
        <f t="shared" si="130"/>
        <v>-166286.95164306066</v>
      </c>
      <c r="N79" s="50">
        <f t="shared" si="130"/>
        <v>-159088.26855441532</v>
      </c>
      <c r="O79" s="50">
        <f t="shared" si="130"/>
        <v>-160109.93224570958</v>
      </c>
      <c r="P79" s="50">
        <f t="shared" si="130"/>
        <v>-151416.04328430098</v>
      </c>
      <c r="Q79" s="50">
        <f t="shared" si="130"/>
        <v>-169897.30828006403</v>
      </c>
      <c r="R79" s="50">
        <f t="shared" si="130"/>
        <v>-172345.70762391499</v>
      </c>
      <c r="S79" s="50">
        <f t="shared" si="130"/>
        <v>-175974.04971730945</v>
      </c>
      <c r="T79" s="50">
        <f t="shared" si="130"/>
        <v>-177788.03577820249</v>
      </c>
      <c r="U79" s="50">
        <f t="shared" si="130"/>
        <v>-172454.908124304</v>
      </c>
      <c r="V79" s="50">
        <f t="shared" si="130"/>
        <v>-207250.45290369194</v>
      </c>
      <c r="W79" s="50">
        <f t="shared" si="130"/>
        <v>-148859.42602101932</v>
      </c>
      <c r="X79" s="50">
        <f t="shared" si="130"/>
        <v>-131171.17188031937</v>
      </c>
      <c r="Y79" s="50">
        <f t="shared" si="130"/>
        <v>-168751.53470622652</v>
      </c>
      <c r="Z79" s="50">
        <f t="shared" si="130"/>
        <v>-188865.92071116934</v>
      </c>
      <c r="AA79" s="50">
        <f t="shared" si="130"/>
        <v>-171039.62244560235</v>
      </c>
      <c r="AB79" s="50">
        <f t="shared" si="130"/>
        <v>-152175.13838037956</v>
      </c>
      <c r="AC79" s="50">
        <f t="shared" si="130"/>
        <v>-127130.88742380191</v>
      </c>
      <c r="AD79" s="50">
        <f t="shared" si="130"/>
        <v>-135807.70742564456</v>
      </c>
      <c r="AE79" s="50">
        <f t="shared" si="130"/>
        <v>-123624.65997268859</v>
      </c>
      <c r="AF79" s="50">
        <f t="shared" si="130"/>
        <v>-144548.89256287867</v>
      </c>
      <c r="AG79" s="50">
        <f t="shared" si="130"/>
        <v>-118438.49447700383</v>
      </c>
      <c r="AH79" s="50">
        <f t="shared" si="130"/>
        <v>-196055.63117794835</v>
      </c>
      <c r="AI79" s="50">
        <f t="shared" si="130"/>
        <v>-127114.90711080602</v>
      </c>
      <c r="AJ79" s="50">
        <f t="shared" si="130"/>
        <v>-121876.48704446328</v>
      </c>
      <c r="AK79" s="50">
        <f t="shared" ref="AK79:BP79" si="131">AK77+AK78</f>
        <v>-113769.18506510418</v>
      </c>
      <c r="AL79" s="50">
        <f t="shared" si="131"/>
        <v>-91221.786902733918</v>
      </c>
      <c r="AM79" s="50">
        <f t="shared" si="131"/>
        <v>-70063.538924059278</v>
      </c>
      <c r="AN79" s="50">
        <f t="shared" si="131"/>
        <v>-93304.492680614698</v>
      </c>
      <c r="AO79" s="50">
        <f t="shared" si="131"/>
        <v>-34059.62544132513</v>
      </c>
      <c r="AP79" s="50">
        <f t="shared" si="131"/>
        <v>-27904.683917854058</v>
      </c>
      <c r="AQ79" s="50">
        <f t="shared" si="131"/>
        <v>-27198.119504783328</v>
      </c>
      <c r="AR79" s="50">
        <f t="shared" si="131"/>
        <v>8914.9121391314293</v>
      </c>
      <c r="AS79" s="50">
        <f t="shared" si="131"/>
        <v>25003.237376376132</v>
      </c>
      <c r="AT79" s="50">
        <f t="shared" si="131"/>
        <v>7099.1963280237978</v>
      </c>
      <c r="AU79" s="50">
        <f t="shared" si="131"/>
        <v>59987.205929465941</v>
      </c>
      <c r="AV79" s="50">
        <f t="shared" si="131"/>
        <v>73538.329647893886</v>
      </c>
      <c r="AW79" s="50">
        <f t="shared" si="131"/>
        <v>85411.169264412179</v>
      </c>
      <c r="AX79" s="50">
        <f t="shared" si="131"/>
        <v>135635.77285085592</v>
      </c>
      <c r="AY79" s="50">
        <f t="shared" si="131"/>
        <v>168167.79804409391</v>
      </c>
      <c r="AZ79" s="50">
        <f t="shared" si="131"/>
        <v>167874.14206461242</v>
      </c>
      <c r="BA79" s="50">
        <f t="shared" si="131"/>
        <v>277561.79880033754</v>
      </c>
      <c r="BB79" s="50">
        <f t="shared" si="131"/>
        <v>307620.18487361079</v>
      </c>
      <c r="BC79" s="50">
        <f t="shared" si="131"/>
        <v>364243.06968614069</v>
      </c>
      <c r="BD79" s="50">
        <f t="shared" si="131"/>
        <v>394027.32588208764</v>
      </c>
      <c r="BE79" s="50">
        <f t="shared" si="131"/>
        <v>465699.634711258</v>
      </c>
      <c r="BF79" s="50">
        <f t="shared" si="131"/>
        <v>471326.78674811061</v>
      </c>
      <c r="BG79" s="50">
        <f t="shared" si="131"/>
        <v>519883.34522297623</v>
      </c>
      <c r="BH79" s="50">
        <f t="shared" si="131"/>
        <v>583605.8511713217</v>
      </c>
      <c r="BI79" s="50">
        <f t="shared" si="131"/>
        <v>621589.16639002669</v>
      </c>
      <c r="BJ79" s="50">
        <f t="shared" si="131"/>
        <v>689129.99726178392</v>
      </c>
      <c r="BK79" s="50">
        <f t="shared" si="131"/>
        <v>744906.5961587429</v>
      </c>
      <c r="BL79" s="50">
        <f t="shared" si="131"/>
        <v>763544.5074898235</v>
      </c>
    </row>
    <row r="80" spans="1:64" x14ac:dyDescent="0.25">
      <c r="A80" s="8" t="s">
        <v>519</v>
      </c>
      <c r="B80" s="10" t="s">
        <v>83</v>
      </c>
      <c r="E80" s="50">
        <f t="shared" ref="E80:AJ80" si="132">IF(E10=1,E79,D80+E79)</f>
        <v>-100120.73134</v>
      </c>
      <c r="F80" s="50">
        <f t="shared" si="132"/>
        <v>-194732.1029957596</v>
      </c>
      <c r="G80" s="50">
        <f t="shared" si="132"/>
        <v>-313724.25679668569</v>
      </c>
      <c r="H80" s="50">
        <f t="shared" si="132"/>
        <v>-440204.19801856135</v>
      </c>
      <c r="I80" s="50">
        <f t="shared" si="132"/>
        <v>-561796.09145428706</v>
      </c>
      <c r="J80" s="50">
        <f t="shared" si="132"/>
        <v>-701284.05733579467</v>
      </c>
      <c r="K80" s="50">
        <f t="shared" si="132"/>
        <v>-832109.98096559523</v>
      </c>
      <c r="L80" s="50">
        <f t="shared" si="132"/>
        <v>-972935.6901895497</v>
      </c>
      <c r="M80" s="50">
        <f t="shared" si="132"/>
        <v>-1139222.6418326104</v>
      </c>
      <c r="N80" s="50">
        <f t="shared" si="132"/>
        <v>-1298310.9103870257</v>
      </c>
      <c r="O80" s="50">
        <f t="shared" si="132"/>
        <v>-1458420.8426327351</v>
      </c>
      <c r="P80" s="50">
        <f t="shared" si="132"/>
        <v>-1609836.8859170361</v>
      </c>
      <c r="Q80" s="50">
        <f t="shared" si="132"/>
        <v>-169897.30828006403</v>
      </c>
      <c r="R80" s="50">
        <f t="shared" si="132"/>
        <v>-342243.01590397902</v>
      </c>
      <c r="S80" s="50">
        <f t="shared" si="132"/>
        <v>-518217.06562128849</v>
      </c>
      <c r="T80" s="50">
        <f t="shared" si="132"/>
        <v>-696005.10139949096</v>
      </c>
      <c r="U80" s="50">
        <f t="shared" si="132"/>
        <v>-868460.00952379499</v>
      </c>
      <c r="V80" s="50">
        <f t="shared" si="132"/>
        <v>-1075710.4624274869</v>
      </c>
      <c r="W80" s="50">
        <f t="shared" si="132"/>
        <v>-1224569.8884485061</v>
      </c>
      <c r="X80" s="50">
        <f t="shared" si="132"/>
        <v>-1355741.0603288254</v>
      </c>
      <c r="Y80" s="50">
        <f t="shared" si="132"/>
        <v>-1524492.5950350519</v>
      </c>
      <c r="Z80" s="50">
        <f t="shared" si="132"/>
        <v>-1713358.5157462212</v>
      </c>
      <c r="AA80" s="50">
        <f t="shared" si="132"/>
        <v>-1884398.1381918236</v>
      </c>
      <c r="AB80" s="50">
        <f t="shared" si="132"/>
        <v>-2036573.2765722033</v>
      </c>
      <c r="AC80" s="50">
        <f t="shared" si="132"/>
        <v>-127130.88742380191</v>
      </c>
      <c r="AD80" s="50">
        <f t="shared" si="132"/>
        <v>-262938.59484944644</v>
      </c>
      <c r="AE80" s="50">
        <f t="shared" si="132"/>
        <v>-386563.25482213503</v>
      </c>
      <c r="AF80" s="50">
        <f t="shared" si="132"/>
        <v>-531112.14738501376</v>
      </c>
      <c r="AG80" s="50">
        <f t="shared" si="132"/>
        <v>-649550.64186201757</v>
      </c>
      <c r="AH80" s="50">
        <f t="shared" si="132"/>
        <v>-845606.27303996589</v>
      </c>
      <c r="AI80" s="50">
        <f t="shared" si="132"/>
        <v>-972721.18015077186</v>
      </c>
      <c r="AJ80" s="50">
        <f t="shared" si="132"/>
        <v>-1094597.6671952351</v>
      </c>
      <c r="AK80" s="50">
        <f t="shared" ref="AK80:BP80" si="133">IF(AK10=1,AK79,AJ80+AK79)</f>
        <v>-1208366.8522603393</v>
      </c>
      <c r="AL80" s="50">
        <f t="shared" si="133"/>
        <v>-1299588.6391630732</v>
      </c>
      <c r="AM80" s="50">
        <f t="shared" si="133"/>
        <v>-1369652.1780871325</v>
      </c>
      <c r="AN80" s="50">
        <f t="shared" si="133"/>
        <v>-1462956.6707677473</v>
      </c>
      <c r="AO80" s="50">
        <f t="shared" si="133"/>
        <v>-34059.62544132513</v>
      </c>
      <c r="AP80" s="50">
        <f t="shared" si="133"/>
        <v>-61964.309359179184</v>
      </c>
      <c r="AQ80" s="50">
        <f t="shared" si="133"/>
        <v>-89162.428863962516</v>
      </c>
      <c r="AR80" s="50">
        <f t="shared" si="133"/>
        <v>-80247.51672483109</v>
      </c>
      <c r="AS80" s="50">
        <f t="shared" si="133"/>
        <v>-55244.279348454962</v>
      </c>
      <c r="AT80" s="50">
        <f t="shared" si="133"/>
        <v>-48145.083020431164</v>
      </c>
      <c r="AU80" s="50">
        <f t="shared" si="133"/>
        <v>11842.122909034777</v>
      </c>
      <c r="AV80" s="50">
        <f t="shared" si="133"/>
        <v>85380.452556928663</v>
      </c>
      <c r="AW80" s="50">
        <f t="shared" si="133"/>
        <v>170791.62182134084</v>
      </c>
      <c r="AX80" s="50">
        <f t="shared" si="133"/>
        <v>306427.39467219677</v>
      </c>
      <c r="AY80" s="50">
        <f t="shared" si="133"/>
        <v>474595.19271629071</v>
      </c>
      <c r="AZ80" s="50">
        <f t="shared" si="133"/>
        <v>642469.33478090307</v>
      </c>
      <c r="BA80" s="50">
        <f t="shared" si="133"/>
        <v>277561.79880033754</v>
      </c>
      <c r="BB80" s="50">
        <f t="shared" si="133"/>
        <v>585181.98367394833</v>
      </c>
      <c r="BC80" s="50">
        <f t="shared" si="133"/>
        <v>949425.05336008896</v>
      </c>
      <c r="BD80" s="50">
        <f t="shared" si="133"/>
        <v>1343452.3792421767</v>
      </c>
      <c r="BE80" s="50">
        <f t="shared" si="133"/>
        <v>1809152.0139534348</v>
      </c>
      <c r="BF80" s="50">
        <f t="shared" si="133"/>
        <v>2280478.8007015456</v>
      </c>
      <c r="BG80" s="50">
        <f t="shared" si="133"/>
        <v>2800362.1459245216</v>
      </c>
      <c r="BH80" s="50">
        <f t="shared" si="133"/>
        <v>3383967.9970958433</v>
      </c>
      <c r="BI80" s="50">
        <f t="shared" si="133"/>
        <v>4005557.1634858698</v>
      </c>
      <c r="BJ80" s="50">
        <f t="shared" si="133"/>
        <v>4694687.1607476538</v>
      </c>
      <c r="BK80" s="50">
        <f t="shared" si="133"/>
        <v>5439593.7569063967</v>
      </c>
      <c r="BL80" s="50">
        <f t="shared" si="133"/>
        <v>6203138.2643962204</v>
      </c>
    </row>
    <row r="81" spans="1:64" x14ac:dyDescent="0.25">
      <c r="A81" s="8" t="s">
        <v>520</v>
      </c>
      <c r="B81" s="10" t="s">
        <v>83</v>
      </c>
      <c r="C81" s="39" t="s">
        <v>521</v>
      </c>
      <c r="E81" s="50">
        <f t="shared" ref="E81:AJ81" si="134">IF(E10=12,tax_rate*MAX(0,E80-MIN(D82,nol_cap_pct*MAX(0,E80))),0)</f>
        <v>0</v>
      </c>
      <c r="F81" s="50">
        <f t="shared" si="134"/>
        <v>0</v>
      </c>
      <c r="G81" s="50">
        <f t="shared" si="134"/>
        <v>0</v>
      </c>
      <c r="H81" s="50">
        <f t="shared" si="134"/>
        <v>0</v>
      </c>
      <c r="I81" s="50">
        <f t="shared" si="134"/>
        <v>0</v>
      </c>
      <c r="J81" s="50">
        <f t="shared" si="134"/>
        <v>0</v>
      </c>
      <c r="K81" s="50">
        <f t="shared" si="134"/>
        <v>0</v>
      </c>
      <c r="L81" s="50">
        <f t="shared" si="134"/>
        <v>0</v>
      </c>
      <c r="M81" s="50">
        <f t="shared" si="134"/>
        <v>0</v>
      </c>
      <c r="N81" s="50">
        <f t="shared" si="134"/>
        <v>0</v>
      </c>
      <c r="O81" s="50">
        <f t="shared" si="134"/>
        <v>0</v>
      </c>
      <c r="P81" s="50">
        <f t="shared" si="134"/>
        <v>0</v>
      </c>
      <c r="Q81" s="50">
        <f t="shared" si="134"/>
        <v>0</v>
      </c>
      <c r="R81" s="50">
        <f t="shared" si="134"/>
        <v>0</v>
      </c>
      <c r="S81" s="50">
        <f t="shared" si="134"/>
        <v>0</v>
      </c>
      <c r="T81" s="50">
        <f t="shared" si="134"/>
        <v>0</v>
      </c>
      <c r="U81" s="50">
        <f t="shared" si="134"/>
        <v>0</v>
      </c>
      <c r="V81" s="50">
        <f t="shared" si="134"/>
        <v>0</v>
      </c>
      <c r="W81" s="50">
        <f t="shared" si="134"/>
        <v>0</v>
      </c>
      <c r="X81" s="50">
        <f t="shared" si="134"/>
        <v>0</v>
      </c>
      <c r="Y81" s="50">
        <f t="shared" si="134"/>
        <v>0</v>
      </c>
      <c r="Z81" s="50">
        <f t="shared" si="134"/>
        <v>0</v>
      </c>
      <c r="AA81" s="50">
        <f t="shared" si="134"/>
        <v>0</v>
      </c>
      <c r="AB81" s="50">
        <f t="shared" si="134"/>
        <v>0</v>
      </c>
      <c r="AC81" s="50">
        <f t="shared" si="134"/>
        <v>0</v>
      </c>
      <c r="AD81" s="50">
        <f t="shared" si="134"/>
        <v>0</v>
      </c>
      <c r="AE81" s="50">
        <f t="shared" si="134"/>
        <v>0</v>
      </c>
      <c r="AF81" s="50">
        <f t="shared" si="134"/>
        <v>0</v>
      </c>
      <c r="AG81" s="50">
        <f t="shared" si="134"/>
        <v>0</v>
      </c>
      <c r="AH81" s="50">
        <f t="shared" si="134"/>
        <v>0</v>
      </c>
      <c r="AI81" s="50">
        <f t="shared" si="134"/>
        <v>0</v>
      </c>
      <c r="AJ81" s="50">
        <f t="shared" si="134"/>
        <v>0</v>
      </c>
      <c r="AK81" s="50">
        <f t="shared" ref="AK81:BP81" si="135">IF(AK10=12,tax_rate*MAX(0,AK80-MIN(AJ82,nol_cap_pct*MAX(0,AK80))),0)</f>
        <v>0</v>
      </c>
      <c r="AL81" s="50">
        <f t="shared" si="135"/>
        <v>0</v>
      </c>
      <c r="AM81" s="50">
        <f t="shared" si="135"/>
        <v>0</v>
      </c>
      <c r="AN81" s="50">
        <f t="shared" si="135"/>
        <v>0</v>
      </c>
      <c r="AO81" s="50">
        <f t="shared" si="135"/>
        <v>0</v>
      </c>
      <c r="AP81" s="50">
        <f t="shared" si="135"/>
        <v>0</v>
      </c>
      <c r="AQ81" s="50">
        <f t="shared" si="135"/>
        <v>0</v>
      </c>
      <c r="AR81" s="50">
        <f t="shared" si="135"/>
        <v>0</v>
      </c>
      <c r="AS81" s="50">
        <f t="shared" si="135"/>
        <v>0</v>
      </c>
      <c r="AT81" s="50">
        <f t="shared" si="135"/>
        <v>0</v>
      </c>
      <c r="AU81" s="50">
        <f t="shared" si="135"/>
        <v>0</v>
      </c>
      <c r="AV81" s="50">
        <f t="shared" si="135"/>
        <v>0</v>
      </c>
      <c r="AW81" s="50">
        <f t="shared" si="135"/>
        <v>0</v>
      </c>
      <c r="AX81" s="50">
        <f t="shared" si="135"/>
        <v>0</v>
      </c>
      <c r="AY81" s="50">
        <f t="shared" si="135"/>
        <v>0</v>
      </c>
      <c r="AZ81" s="50">
        <f t="shared" si="135"/>
        <v>32123.46673904515</v>
      </c>
      <c r="BA81" s="50">
        <f t="shared" si="135"/>
        <v>0</v>
      </c>
      <c r="BB81" s="50">
        <f t="shared" si="135"/>
        <v>0</v>
      </c>
      <c r="BC81" s="50">
        <f t="shared" si="135"/>
        <v>0</v>
      </c>
      <c r="BD81" s="50">
        <f t="shared" si="135"/>
        <v>0</v>
      </c>
      <c r="BE81" s="50">
        <f t="shared" si="135"/>
        <v>0</v>
      </c>
      <c r="BF81" s="50">
        <f t="shared" si="135"/>
        <v>0</v>
      </c>
      <c r="BG81" s="50">
        <f t="shared" si="135"/>
        <v>0</v>
      </c>
      <c r="BH81" s="50">
        <f t="shared" si="135"/>
        <v>0</v>
      </c>
      <c r="BI81" s="50">
        <f t="shared" si="135"/>
        <v>0</v>
      </c>
      <c r="BJ81" s="50">
        <f t="shared" si="135"/>
        <v>0</v>
      </c>
      <c r="BK81" s="50">
        <f t="shared" si="135"/>
        <v>0</v>
      </c>
      <c r="BL81" s="50">
        <f t="shared" si="135"/>
        <v>310156.91321981093</v>
      </c>
    </row>
    <row r="82" spans="1:64" x14ac:dyDescent="0.25">
      <c r="A82" s="8" t="s">
        <v>522</v>
      </c>
      <c r="B82" s="10" t="s">
        <v>83</v>
      </c>
      <c r="D82" s="50">
        <f>nol_open</f>
        <v>731082</v>
      </c>
      <c r="E82" s="50">
        <f t="shared" ref="E82:AJ82" si="136">D82+IF(E10=12,IF(E80&lt;=0,-E80,-MIN(D82,nol_cap_pct*E80)),0)</f>
        <v>731082</v>
      </c>
      <c r="F82" s="50">
        <f t="shared" si="136"/>
        <v>731082</v>
      </c>
      <c r="G82" s="50">
        <f t="shared" si="136"/>
        <v>731082</v>
      </c>
      <c r="H82" s="50">
        <f t="shared" si="136"/>
        <v>731082</v>
      </c>
      <c r="I82" s="50">
        <f t="shared" si="136"/>
        <v>731082</v>
      </c>
      <c r="J82" s="50">
        <f t="shared" si="136"/>
        <v>731082</v>
      </c>
      <c r="K82" s="50">
        <f t="shared" si="136"/>
        <v>731082</v>
      </c>
      <c r="L82" s="50">
        <f t="shared" si="136"/>
        <v>731082</v>
      </c>
      <c r="M82" s="50">
        <f t="shared" si="136"/>
        <v>731082</v>
      </c>
      <c r="N82" s="50">
        <f t="shared" si="136"/>
        <v>731082</v>
      </c>
      <c r="O82" s="50">
        <f t="shared" si="136"/>
        <v>731082</v>
      </c>
      <c r="P82" s="50">
        <f t="shared" si="136"/>
        <v>2340918.8859170359</v>
      </c>
      <c r="Q82" s="50">
        <f t="shared" si="136"/>
        <v>2340918.8859170359</v>
      </c>
      <c r="R82" s="50">
        <f t="shared" si="136"/>
        <v>2340918.8859170359</v>
      </c>
      <c r="S82" s="50">
        <f t="shared" si="136"/>
        <v>2340918.8859170359</v>
      </c>
      <c r="T82" s="50">
        <f t="shared" si="136"/>
        <v>2340918.8859170359</v>
      </c>
      <c r="U82" s="50">
        <f t="shared" si="136"/>
        <v>2340918.8859170359</v>
      </c>
      <c r="V82" s="50">
        <f t="shared" si="136"/>
        <v>2340918.8859170359</v>
      </c>
      <c r="W82" s="50">
        <f t="shared" si="136"/>
        <v>2340918.8859170359</v>
      </c>
      <c r="X82" s="50">
        <f t="shared" si="136"/>
        <v>2340918.8859170359</v>
      </c>
      <c r="Y82" s="50">
        <f t="shared" si="136"/>
        <v>2340918.8859170359</v>
      </c>
      <c r="Z82" s="50">
        <f t="shared" si="136"/>
        <v>2340918.8859170359</v>
      </c>
      <c r="AA82" s="50">
        <f t="shared" si="136"/>
        <v>2340918.8859170359</v>
      </c>
      <c r="AB82" s="50">
        <f t="shared" si="136"/>
        <v>4377492.1624892391</v>
      </c>
      <c r="AC82" s="50">
        <f t="shared" si="136"/>
        <v>4377492.1624892391</v>
      </c>
      <c r="AD82" s="50">
        <f t="shared" si="136"/>
        <v>4377492.1624892391</v>
      </c>
      <c r="AE82" s="50">
        <f t="shared" si="136"/>
        <v>4377492.1624892391</v>
      </c>
      <c r="AF82" s="50">
        <f t="shared" si="136"/>
        <v>4377492.1624892391</v>
      </c>
      <c r="AG82" s="50">
        <f t="shared" si="136"/>
        <v>4377492.1624892391</v>
      </c>
      <c r="AH82" s="50">
        <f t="shared" si="136"/>
        <v>4377492.1624892391</v>
      </c>
      <c r="AI82" s="50">
        <f t="shared" si="136"/>
        <v>4377492.1624892391</v>
      </c>
      <c r="AJ82" s="50">
        <f t="shared" si="136"/>
        <v>4377492.1624892391</v>
      </c>
      <c r="AK82" s="50">
        <f t="shared" ref="AK82:BL82" si="137">AJ82+IF(AK10=12,IF(AK80&lt;=0,-AK80,-MIN(AJ82,nol_cap_pct*AK80)),0)</f>
        <v>4377492.1624892391</v>
      </c>
      <c r="AL82" s="50">
        <f t="shared" si="137"/>
        <v>4377492.1624892391</v>
      </c>
      <c r="AM82" s="50">
        <f t="shared" si="137"/>
        <v>4377492.1624892391</v>
      </c>
      <c r="AN82" s="50">
        <f t="shared" si="137"/>
        <v>5840448.833256986</v>
      </c>
      <c r="AO82" s="50">
        <f t="shared" si="137"/>
        <v>5840448.833256986</v>
      </c>
      <c r="AP82" s="50">
        <f t="shared" si="137"/>
        <v>5840448.833256986</v>
      </c>
      <c r="AQ82" s="50">
        <f t="shared" si="137"/>
        <v>5840448.833256986</v>
      </c>
      <c r="AR82" s="50">
        <f t="shared" si="137"/>
        <v>5840448.833256986</v>
      </c>
      <c r="AS82" s="50">
        <f t="shared" si="137"/>
        <v>5840448.833256986</v>
      </c>
      <c r="AT82" s="50">
        <f t="shared" si="137"/>
        <v>5840448.833256986</v>
      </c>
      <c r="AU82" s="50">
        <f t="shared" si="137"/>
        <v>5840448.833256986</v>
      </c>
      <c r="AV82" s="50">
        <f t="shared" si="137"/>
        <v>5840448.833256986</v>
      </c>
      <c r="AW82" s="50">
        <f t="shared" si="137"/>
        <v>5840448.833256986</v>
      </c>
      <c r="AX82" s="50">
        <f t="shared" si="137"/>
        <v>5840448.833256986</v>
      </c>
      <c r="AY82" s="50">
        <f t="shared" si="137"/>
        <v>5840448.833256986</v>
      </c>
      <c r="AZ82" s="50">
        <f t="shared" si="137"/>
        <v>5326473.3654322634</v>
      </c>
      <c r="BA82" s="50">
        <f t="shared" si="137"/>
        <v>5326473.3654322634</v>
      </c>
      <c r="BB82" s="50">
        <f t="shared" si="137"/>
        <v>5326473.3654322634</v>
      </c>
      <c r="BC82" s="50">
        <f t="shared" si="137"/>
        <v>5326473.3654322634</v>
      </c>
      <c r="BD82" s="50">
        <f t="shared" si="137"/>
        <v>5326473.3654322634</v>
      </c>
      <c r="BE82" s="50">
        <f t="shared" si="137"/>
        <v>5326473.3654322634</v>
      </c>
      <c r="BF82" s="50">
        <f t="shared" si="137"/>
        <v>5326473.3654322634</v>
      </c>
      <c r="BG82" s="50">
        <f t="shared" si="137"/>
        <v>5326473.3654322634</v>
      </c>
      <c r="BH82" s="50">
        <f t="shared" si="137"/>
        <v>5326473.3654322634</v>
      </c>
      <c r="BI82" s="50">
        <f t="shared" si="137"/>
        <v>5326473.3654322634</v>
      </c>
      <c r="BJ82" s="50">
        <f t="shared" si="137"/>
        <v>5326473.3654322634</v>
      </c>
      <c r="BK82" s="50">
        <f t="shared" si="137"/>
        <v>5326473.3654322634</v>
      </c>
      <c r="BL82" s="50">
        <f t="shared" si="137"/>
        <v>363962.75391528662</v>
      </c>
    </row>
    <row r="83" spans="1:64" x14ac:dyDescent="0.25">
      <c r="A83" s="44" t="s">
        <v>523</v>
      </c>
      <c r="B83" s="10" t="s">
        <v>83</v>
      </c>
      <c r="E83" s="51">
        <f t="shared" ref="E83:AJ83" si="138">E79-E81</f>
        <v>-100120.73134</v>
      </c>
      <c r="F83" s="51">
        <f t="shared" si="138"/>
        <v>-94611.371655759605</v>
      </c>
      <c r="G83" s="51">
        <f t="shared" si="138"/>
        <v>-118992.1538009261</v>
      </c>
      <c r="H83" s="51">
        <f t="shared" si="138"/>
        <v>-126479.94122187568</v>
      </c>
      <c r="I83" s="51">
        <f t="shared" si="138"/>
        <v>-121591.89343572571</v>
      </c>
      <c r="J83" s="51">
        <f t="shared" si="138"/>
        <v>-139487.96588150764</v>
      </c>
      <c r="K83" s="51">
        <f t="shared" si="138"/>
        <v>-130825.9236298006</v>
      </c>
      <c r="L83" s="51">
        <f t="shared" si="138"/>
        <v>-140825.70922395444</v>
      </c>
      <c r="M83" s="51">
        <f t="shared" si="138"/>
        <v>-166286.95164306066</v>
      </c>
      <c r="N83" s="51">
        <f t="shared" si="138"/>
        <v>-159088.26855441532</v>
      </c>
      <c r="O83" s="51">
        <f t="shared" si="138"/>
        <v>-160109.93224570958</v>
      </c>
      <c r="P83" s="51">
        <f t="shared" si="138"/>
        <v>-151416.04328430098</v>
      </c>
      <c r="Q83" s="51">
        <f t="shared" si="138"/>
        <v>-169897.30828006403</v>
      </c>
      <c r="R83" s="51">
        <f t="shared" si="138"/>
        <v>-172345.70762391499</v>
      </c>
      <c r="S83" s="51">
        <f t="shared" si="138"/>
        <v>-175974.04971730945</v>
      </c>
      <c r="T83" s="51">
        <f t="shared" si="138"/>
        <v>-177788.03577820249</v>
      </c>
      <c r="U83" s="51">
        <f t="shared" si="138"/>
        <v>-172454.908124304</v>
      </c>
      <c r="V83" s="51">
        <f t="shared" si="138"/>
        <v>-207250.45290369194</v>
      </c>
      <c r="W83" s="51">
        <f t="shared" si="138"/>
        <v>-148859.42602101932</v>
      </c>
      <c r="X83" s="51">
        <f t="shared" si="138"/>
        <v>-131171.17188031937</v>
      </c>
      <c r="Y83" s="51">
        <f t="shared" si="138"/>
        <v>-168751.53470622652</v>
      </c>
      <c r="Z83" s="51">
        <f t="shared" si="138"/>
        <v>-188865.92071116934</v>
      </c>
      <c r="AA83" s="51">
        <f t="shared" si="138"/>
        <v>-171039.62244560235</v>
      </c>
      <c r="AB83" s="51">
        <f t="shared" si="138"/>
        <v>-152175.13838037956</v>
      </c>
      <c r="AC83" s="51">
        <f t="shared" si="138"/>
        <v>-127130.88742380191</v>
      </c>
      <c r="AD83" s="51">
        <f t="shared" si="138"/>
        <v>-135807.70742564456</v>
      </c>
      <c r="AE83" s="51">
        <f t="shared" si="138"/>
        <v>-123624.65997268859</v>
      </c>
      <c r="AF83" s="51">
        <f t="shared" si="138"/>
        <v>-144548.89256287867</v>
      </c>
      <c r="AG83" s="51">
        <f t="shared" si="138"/>
        <v>-118438.49447700383</v>
      </c>
      <c r="AH83" s="51">
        <f t="shared" si="138"/>
        <v>-196055.63117794835</v>
      </c>
      <c r="AI83" s="51">
        <f t="shared" si="138"/>
        <v>-127114.90711080602</v>
      </c>
      <c r="AJ83" s="51">
        <f t="shared" si="138"/>
        <v>-121876.48704446328</v>
      </c>
      <c r="AK83" s="51">
        <f t="shared" ref="AK83:BL83" si="139">AK79-AK81</f>
        <v>-113769.18506510418</v>
      </c>
      <c r="AL83" s="51">
        <f t="shared" si="139"/>
        <v>-91221.786902733918</v>
      </c>
      <c r="AM83" s="51">
        <f t="shared" si="139"/>
        <v>-70063.538924059278</v>
      </c>
      <c r="AN83" s="51">
        <f t="shared" si="139"/>
        <v>-93304.492680614698</v>
      </c>
      <c r="AO83" s="51">
        <f t="shared" si="139"/>
        <v>-34059.62544132513</v>
      </c>
      <c r="AP83" s="51">
        <f t="shared" si="139"/>
        <v>-27904.683917854058</v>
      </c>
      <c r="AQ83" s="51">
        <f t="shared" si="139"/>
        <v>-27198.119504783328</v>
      </c>
      <c r="AR83" s="51">
        <f t="shared" si="139"/>
        <v>8914.9121391314293</v>
      </c>
      <c r="AS83" s="51">
        <f t="shared" si="139"/>
        <v>25003.237376376132</v>
      </c>
      <c r="AT83" s="51">
        <f t="shared" si="139"/>
        <v>7099.1963280237978</v>
      </c>
      <c r="AU83" s="51">
        <f t="shared" si="139"/>
        <v>59987.205929465941</v>
      </c>
      <c r="AV83" s="51">
        <f t="shared" si="139"/>
        <v>73538.329647893886</v>
      </c>
      <c r="AW83" s="51">
        <f t="shared" si="139"/>
        <v>85411.169264412179</v>
      </c>
      <c r="AX83" s="51">
        <f t="shared" si="139"/>
        <v>135635.77285085592</v>
      </c>
      <c r="AY83" s="51">
        <f t="shared" si="139"/>
        <v>168167.79804409391</v>
      </c>
      <c r="AZ83" s="51">
        <f t="shared" si="139"/>
        <v>135750.67532556725</v>
      </c>
      <c r="BA83" s="51">
        <f t="shared" si="139"/>
        <v>277561.79880033754</v>
      </c>
      <c r="BB83" s="51">
        <f t="shared" si="139"/>
        <v>307620.18487361079</v>
      </c>
      <c r="BC83" s="51">
        <f t="shared" si="139"/>
        <v>364243.06968614069</v>
      </c>
      <c r="BD83" s="51">
        <f t="shared" si="139"/>
        <v>394027.32588208764</v>
      </c>
      <c r="BE83" s="51">
        <f t="shared" si="139"/>
        <v>465699.634711258</v>
      </c>
      <c r="BF83" s="51">
        <f t="shared" si="139"/>
        <v>471326.78674811061</v>
      </c>
      <c r="BG83" s="51">
        <f t="shared" si="139"/>
        <v>519883.34522297623</v>
      </c>
      <c r="BH83" s="51">
        <f t="shared" si="139"/>
        <v>583605.8511713217</v>
      </c>
      <c r="BI83" s="51">
        <f t="shared" si="139"/>
        <v>621589.16639002669</v>
      </c>
      <c r="BJ83" s="51">
        <f t="shared" si="139"/>
        <v>689129.99726178392</v>
      </c>
      <c r="BK83" s="51">
        <f t="shared" si="139"/>
        <v>744906.5961587429</v>
      </c>
      <c r="BL83" s="51">
        <f t="shared" si="139"/>
        <v>453387.59427001257</v>
      </c>
    </row>
    <row r="84" spans="1:64" x14ac:dyDescent="0.25">
      <c r="A84" s="19" t="s">
        <v>524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</row>
    <row r="85" spans="1:64" x14ac:dyDescent="0.25">
      <c r="A85" s="8" t="s">
        <v>525</v>
      </c>
      <c r="B85" s="10" t="s">
        <v>83</v>
      </c>
      <c r="E85" s="50">
        <f t="shared" ref="E85:AJ85" si="140">E57-E56+E63+E68+E69+E70</f>
        <v>43038.927340000002</v>
      </c>
      <c r="F85" s="50">
        <f t="shared" si="140"/>
        <v>44105.046779999597</v>
      </c>
      <c r="G85" s="50">
        <f t="shared" si="140"/>
        <v>46977.849715272801</v>
      </c>
      <c r="H85" s="50">
        <f t="shared" si="140"/>
        <v>50082.307877476793</v>
      </c>
      <c r="I85" s="50">
        <f t="shared" si="140"/>
        <v>52345.991649371761</v>
      </c>
      <c r="J85" s="50">
        <f t="shared" si="140"/>
        <v>58718.632734184052</v>
      </c>
      <c r="K85" s="50">
        <f t="shared" si="140"/>
        <v>58955.161252832928</v>
      </c>
      <c r="L85" s="50">
        <f t="shared" si="140"/>
        <v>63419.436975570585</v>
      </c>
      <c r="M85" s="50">
        <f t="shared" si="140"/>
        <v>75144.474304449686</v>
      </c>
      <c r="N85" s="50">
        <f t="shared" si="140"/>
        <v>79034.967118243541</v>
      </c>
      <c r="O85" s="50">
        <f t="shared" si="140"/>
        <v>83934.737213368702</v>
      </c>
      <c r="P85" s="50">
        <f t="shared" si="140"/>
        <v>88043.289043791388</v>
      </c>
      <c r="Q85" s="50">
        <f t="shared" si="140"/>
        <v>94367.72955866679</v>
      </c>
      <c r="R85" s="50">
        <f t="shared" si="140"/>
        <v>100526.70666879325</v>
      </c>
      <c r="S85" s="50">
        <f t="shared" si="140"/>
        <v>109087.85038828774</v>
      </c>
      <c r="T85" s="50">
        <f t="shared" si="140"/>
        <v>117907.61340623439</v>
      </c>
      <c r="U85" s="50">
        <f t="shared" si="140"/>
        <v>124734.82176049944</v>
      </c>
      <c r="V85" s="50">
        <f t="shared" si="140"/>
        <v>166711.16578941324</v>
      </c>
      <c r="W85" s="50">
        <f t="shared" si="140"/>
        <v>131185.97196131351</v>
      </c>
      <c r="X85" s="50">
        <f t="shared" si="140"/>
        <v>134987.14504298486</v>
      </c>
      <c r="Y85" s="50">
        <f t="shared" si="140"/>
        <v>144679.76708896275</v>
      </c>
      <c r="Z85" s="50">
        <f t="shared" si="140"/>
        <v>153620.79735820944</v>
      </c>
      <c r="AA85" s="50">
        <f t="shared" si="140"/>
        <v>160009.56583123322</v>
      </c>
      <c r="AB85" s="50">
        <f t="shared" si="140"/>
        <v>166545.40588364255</v>
      </c>
      <c r="AC85" s="50">
        <f t="shared" si="140"/>
        <v>174131.39776776868</v>
      </c>
      <c r="AD85" s="50">
        <f t="shared" si="140"/>
        <v>185073.26421370375</v>
      </c>
      <c r="AE85" s="50">
        <f t="shared" si="140"/>
        <v>195372.02758183266</v>
      </c>
      <c r="AF85" s="50">
        <f t="shared" si="140"/>
        <v>209976.52723584068</v>
      </c>
      <c r="AG85" s="50">
        <f t="shared" si="140"/>
        <v>219994.71919550461</v>
      </c>
      <c r="AH85" s="50">
        <f t="shared" si="140"/>
        <v>288865.84734862554</v>
      </c>
      <c r="AI85" s="50">
        <f t="shared" si="140"/>
        <v>245288.77116791901</v>
      </c>
      <c r="AJ85" s="50">
        <f t="shared" si="140"/>
        <v>257862.35589270451</v>
      </c>
      <c r="AK85" s="50">
        <f t="shared" ref="AK85:BL85" si="141">AK57-AK56+AK63+AK68+AK69+AK70</f>
        <v>270685.47249413276</v>
      </c>
      <c r="AL85" s="50">
        <f t="shared" si="141"/>
        <v>282856.99764066743</v>
      </c>
      <c r="AM85" s="50">
        <f t="shared" si="141"/>
        <v>295275.81366381916</v>
      </c>
      <c r="AN85" s="50">
        <f t="shared" si="141"/>
        <v>309290.80852413084</v>
      </c>
      <c r="AO85" s="50">
        <f t="shared" si="141"/>
        <v>320956.71924163844</v>
      </c>
      <c r="AP85" s="50">
        <f t="shared" si="141"/>
        <v>333561.10124485276</v>
      </c>
      <c r="AQ85" s="50">
        <f t="shared" si="141"/>
        <v>348552.75131228473</v>
      </c>
      <c r="AR85" s="50">
        <f t="shared" si="141"/>
        <v>361992.16597354179</v>
      </c>
      <c r="AS85" s="50">
        <f t="shared" si="141"/>
        <v>378828.23497302097</v>
      </c>
      <c r="AT85" s="50">
        <f t="shared" si="141"/>
        <v>398720.9588292226</v>
      </c>
      <c r="AU85" s="50">
        <f t="shared" si="141"/>
        <v>412218.73380827031</v>
      </c>
      <c r="AV85" s="50">
        <f t="shared" si="141"/>
        <v>430908.8590214462</v>
      </c>
      <c r="AW85" s="50">
        <f t="shared" si="141"/>
        <v>449951.35659352539</v>
      </c>
      <c r="AX85" s="50">
        <f t="shared" si="141"/>
        <v>465294.64426786848</v>
      </c>
      <c r="AY85" s="50">
        <f t="shared" si="141"/>
        <v>481776.0425048942</v>
      </c>
      <c r="AZ85" s="50">
        <f t="shared" si="141"/>
        <v>498944.4894281904</v>
      </c>
      <c r="BA85" s="50">
        <f t="shared" si="141"/>
        <v>513286.56769315025</v>
      </c>
      <c r="BB85" s="50">
        <f t="shared" si="141"/>
        <v>528966.26095247455</v>
      </c>
      <c r="BC85" s="50">
        <f t="shared" si="141"/>
        <v>542972.58298269217</v>
      </c>
      <c r="BD85" s="50">
        <f t="shared" si="141"/>
        <v>561154.98013420333</v>
      </c>
      <c r="BE85" s="50">
        <f t="shared" si="141"/>
        <v>576876.02749832044</v>
      </c>
      <c r="BF85" s="50">
        <f t="shared" si="141"/>
        <v>597334.66394517315</v>
      </c>
      <c r="BG85" s="50">
        <f t="shared" si="141"/>
        <v>615329.83357517817</v>
      </c>
      <c r="BH85" s="50">
        <f t="shared" si="141"/>
        <v>632660.48568858393</v>
      </c>
      <c r="BI85" s="50">
        <f t="shared" si="141"/>
        <v>652025.57475522987</v>
      </c>
      <c r="BJ85" s="50">
        <f t="shared" si="141"/>
        <v>669824.06038452091</v>
      </c>
      <c r="BK85" s="50">
        <f t="shared" si="141"/>
        <v>688754.9072956132</v>
      </c>
      <c r="BL85" s="50">
        <f t="shared" si="141"/>
        <v>708367.08528781135</v>
      </c>
    </row>
    <row r="86" spans="1:64" x14ac:dyDescent="0.25">
      <c r="A86" s="8" t="s">
        <v>526</v>
      </c>
      <c r="B86" s="10" t="s">
        <v>83</v>
      </c>
      <c r="C86" s="39" t="s">
        <v>527</v>
      </c>
      <c r="D86" s="50">
        <f>ar_open</f>
        <v>18918</v>
      </c>
      <c r="E86" s="50">
        <f t="shared" ref="E86:AJ86" si="142">E49*ar_days/30</f>
        <v>18918.196</v>
      </c>
      <c r="F86" s="50">
        <f t="shared" si="142"/>
        <v>25493.675124239999</v>
      </c>
      <c r="G86" s="50">
        <f t="shared" si="142"/>
        <v>32124.584803235586</v>
      </c>
      <c r="H86" s="50">
        <f t="shared" si="142"/>
        <v>38810.699988934452</v>
      </c>
      <c r="I86" s="50">
        <f t="shared" si="142"/>
        <v>45962.431546979373</v>
      </c>
      <c r="J86" s="50">
        <f t="shared" si="142"/>
        <v>53577.889074898638</v>
      </c>
      <c r="K86" s="50">
        <f t="shared" si="142"/>
        <v>62476.459845254547</v>
      </c>
      <c r="L86" s="50">
        <f t="shared" si="142"/>
        <v>71010.394418282813</v>
      </c>
      <c r="M86" s="50">
        <f t="shared" si="142"/>
        <v>80413.078216944588</v>
      </c>
      <c r="N86" s="50">
        <f t="shared" si="142"/>
        <v>91502.254119383782</v>
      </c>
      <c r="O86" s="50">
        <f t="shared" si="142"/>
        <v>103449.8049676591</v>
      </c>
      <c r="P86" s="50">
        <f t="shared" si="142"/>
        <v>116252.24575949041</v>
      </c>
      <c r="Q86" s="50">
        <f t="shared" si="142"/>
        <v>135354.31016749164</v>
      </c>
      <c r="R86" s="50">
        <f t="shared" si="142"/>
        <v>150464.33237821161</v>
      </c>
      <c r="S86" s="50">
        <f t="shared" si="142"/>
        <v>166796.57844875607</v>
      </c>
      <c r="T86" s="50">
        <f t="shared" si="142"/>
        <v>185201.79985025412</v>
      </c>
      <c r="U86" s="50">
        <f t="shared" si="142"/>
        <v>205671.5803028621</v>
      </c>
      <c r="V86" s="50">
        <f t="shared" si="142"/>
        <v>227341.82399683242</v>
      </c>
      <c r="W86" s="50">
        <f t="shared" si="142"/>
        <v>250207.65705140535</v>
      </c>
      <c r="X86" s="50">
        <f t="shared" si="142"/>
        <v>271697.08427377662</v>
      </c>
      <c r="Y86" s="50">
        <f t="shared" si="142"/>
        <v>293527.1212716251</v>
      </c>
      <c r="Z86" s="50">
        <f t="shared" si="142"/>
        <v>316552.09886926232</v>
      </c>
      <c r="AA86" s="50">
        <f t="shared" si="142"/>
        <v>340767.16560785309</v>
      </c>
      <c r="AB86" s="50">
        <f t="shared" si="142"/>
        <v>366167.48972548521</v>
      </c>
      <c r="AC86" s="50">
        <f t="shared" si="142"/>
        <v>409303.73256618896</v>
      </c>
      <c r="AD86" s="50">
        <f t="shared" si="142"/>
        <v>438230.16789917031</v>
      </c>
      <c r="AE86" s="50">
        <f t="shared" si="142"/>
        <v>469268.62316469965</v>
      </c>
      <c r="AF86" s="50">
        <f t="shared" si="142"/>
        <v>502410.52356185095</v>
      </c>
      <c r="AG86" s="50">
        <f t="shared" si="142"/>
        <v>538539.11360738974</v>
      </c>
      <c r="AH86" s="50">
        <f t="shared" si="142"/>
        <v>576750.48283734382</v>
      </c>
      <c r="AI86" s="50">
        <f t="shared" si="142"/>
        <v>617036.17516822414</v>
      </c>
      <c r="AJ86" s="50">
        <f t="shared" si="142"/>
        <v>659387.76884824119</v>
      </c>
      <c r="AK86" s="50">
        <f t="shared" ref="AK86:BL86" si="143">AK49*ar_days/30</f>
        <v>703796.87631791749</v>
      </c>
      <c r="AL86" s="50">
        <f t="shared" si="143"/>
        <v>750255.14407126675</v>
      </c>
      <c r="AM86" s="50">
        <f t="shared" si="143"/>
        <v>798754.25251753756</v>
      </c>
      <c r="AN86" s="50">
        <f t="shared" si="143"/>
        <v>849285.91584351624</v>
      </c>
      <c r="AO86" s="50">
        <f t="shared" si="143"/>
        <v>939101.93180031329</v>
      </c>
      <c r="AP86" s="50">
        <f t="shared" si="143"/>
        <v>994129.57966033206</v>
      </c>
      <c r="AQ86" s="50">
        <f t="shared" si="143"/>
        <v>1050328.1375852791</v>
      </c>
      <c r="AR86" s="50">
        <f t="shared" si="143"/>
        <v>1108622.399890451</v>
      </c>
      <c r="AS86" s="50">
        <f t="shared" si="143"/>
        <v>1169003.8580160637</v>
      </c>
      <c r="AT86" s="50">
        <f t="shared" si="143"/>
        <v>1232393.5861572465</v>
      </c>
      <c r="AU86" s="50">
        <f t="shared" si="143"/>
        <v>1298779.3707377363</v>
      </c>
      <c r="AV86" s="50">
        <f t="shared" si="143"/>
        <v>1367219.499558229</v>
      </c>
      <c r="AW86" s="50">
        <f t="shared" si="143"/>
        <v>1438635.1801912708</v>
      </c>
      <c r="AX86" s="50">
        <f t="shared" si="143"/>
        <v>1513014.3318965021</v>
      </c>
      <c r="AY86" s="50">
        <f t="shared" si="143"/>
        <v>1589415.3747712104</v>
      </c>
      <c r="AZ86" s="50">
        <f t="shared" si="143"/>
        <v>1667830.0999372473</v>
      </c>
      <c r="BA86" s="50">
        <f t="shared" si="143"/>
        <v>1821617.9567690431</v>
      </c>
      <c r="BB86" s="50">
        <f t="shared" si="143"/>
        <v>1904636.7157205297</v>
      </c>
      <c r="BC86" s="50">
        <f t="shared" si="143"/>
        <v>1988772.0282832773</v>
      </c>
      <c r="BD86" s="50">
        <f t="shared" si="143"/>
        <v>2074019.3612496241</v>
      </c>
      <c r="BE86" s="50">
        <f t="shared" si="143"/>
        <v>2161343.2729984671</v>
      </c>
      <c r="BF86" s="50">
        <f t="shared" si="143"/>
        <v>2250735.3326199502</v>
      </c>
      <c r="BG86" s="50">
        <f t="shared" si="143"/>
        <v>2342187.1434337096</v>
      </c>
      <c r="BH86" s="50">
        <f t="shared" si="143"/>
        <v>2435690.3428499056</v>
      </c>
      <c r="BI86" s="50">
        <f t="shared" si="143"/>
        <v>2531236.602230812</v>
      </c>
      <c r="BJ86" s="50">
        <f t="shared" si="143"/>
        <v>2628817.6267529717</v>
      </c>
      <c r="BK86" s="50">
        <f t="shared" si="143"/>
        <v>2728425.1552699115</v>
      </c>
      <c r="BL86" s="50">
        <f t="shared" si="143"/>
        <v>2830050.9601754122</v>
      </c>
    </row>
    <row r="87" spans="1:64" x14ac:dyDescent="0.25">
      <c r="A87" s="8" t="s">
        <v>528</v>
      </c>
      <c r="B87" s="10" t="s">
        <v>83</v>
      </c>
      <c r="C87" s="39" t="s">
        <v>529</v>
      </c>
      <c r="D87" s="50">
        <f>ap_open</f>
        <v>0</v>
      </c>
      <c r="E87" s="50">
        <f t="shared" ref="E87:AJ87" si="144">E85*ap_days/30</f>
        <v>43038.927340000002</v>
      </c>
      <c r="F87" s="50">
        <f t="shared" si="144"/>
        <v>44105.046779999597</v>
      </c>
      <c r="G87" s="50">
        <f t="shared" si="144"/>
        <v>46977.849715272801</v>
      </c>
      <c r="H87" s="50">
        <f t="shared" si="144"/>
        <v>50082.307877476793</v>
      </c>
      <c r="I87" s="50">
        <f t="shared" si="144"/>
        <v>52345.991649371761</v>
      </c>
      <c r="J87" s="50">
        <f t="shared" si="144"/>
        <v>58718.632734184052</v>
      </c>
      <c r="K87" s="50">
        <f t="shared" si="144"/>
        <v>58955.161252832928</v>
      </c>
      <c r="L87" s="50">
        <f t="shared" si="144"/>
        <v>63419.436975570585</v>
      </c>
      <c r="M87" s="50">
        <f t="shared" si="144"/>
        <v>75144.474304449686</v>
      </c>
      <c r="N87" s="50">
        <f t="shared" si="144"/>
        <v>79034.967118243541</v>
      </c>
      <c r="O87" s="50">
        <f t="shared" si="144"/>
        <v>83934.737213368702</v>
      </c>
      <c r="P87" s="50">
        <f t="shared" si="144"/>
        <v>88043.289043791388</v>
      </c>
      <c r="Q87" s="50">
        <f t="shared" si="144"/>
        <v>94367.72955866679</v>
      </c>
      <c r="R87" s="50">
        <f t="shared" si="144"/>
        <v>100526.70666879325</v>
      </c>
      <c r="S87" s="50">
        <f t="shared" si="144"/>
        <v>109087.85038828774</v>
      </c>
      <c r="T87" s="50">
        <f t="shared" si="144"/>
        <v>117907.61340623439</v>
      </c>
      <c r="U87" s="50">
        <f t="shared" si="144"/>
        <v>124734.82176049944</v>
      </c>
      <c r="V87" s="50">
        <f t="shared" si="144"/>
        <v>166711.16578941324</v>
      </c>
      <c r="W87" s="50">
        <f t="shared" si="144"/>
        <v>131185.97196131351</v>
      </c>
      <c r="X87" s="50">
        <f t="shared" si="144"/>
        <v>134987.14504298486</v>
      </c>
      <c r="Y87" s="50">
        <f t="shared" si="144"/>
        <v>144679.76708896275</v>
      </c>
      <c r="Z87" s="50">
        <f t="shared" si="144"/>
        <v>153620.79735820944</v>
      </c>
      <c r="AA87" s="50">
        <f t="shared" si="144"/>
        <v>160009.56583123322</v>
      </c>
      <c r="AB87" s="50">
        <f t="shared" si="144"/>
        <v>166545.40588364255</v>
      </c>
      <c r="AC87" s="50">
        <f t="shared" si="144"/>
        <v>174131.39776776868</v>
      </c>
      <c r="AD87" s="50">
        <f t="shared" si="144"/>
        <v>185073.26421370375</v>
      </c>
      <c r="AE87" s="50">
        <f t="shared" si="144"/>
        <v>195372.02758183266</v>
      </c>
      <c r="AF87" s="50">
        <f t="shared" si="144"/>
        <v>209976.52723584071</v>
      </c>
      <c r="AG87" s="50">
        <f t="shared" si="144"/>
        <v>219994.71919550461</v>
      </c>
      <c r="AH87" s="50">
        <f t="shared" si="144"/>
        <v>288865.84734862554</v>
      </c>
      <c r="AI87" s="50">
        <f t="shared" si="144"/>
        <v>245288.77116791901</v>
      </c>
      <c r="AJ87" s="50">
        <f t="shared" si="144"/>
        <v>257862.35589270451</v>
      </c>
      <c r="AK87" s="50">
        <f t="shared" ref="AK87:BL87" si="145">AK85*ap_days/30</f>
        <v>270685.47249413276</v>
      </c>
      <c r="AL87" s="50">
        <f t="shared" si="145"/>
        <v>282856.99764066743</v>
      </c>
      <c r="AM87" s="50">
        <f t="shared" si="145"/>
        <v>295275.81366381916</v>
      </c>
      <c r="AN87" s="50">
        <f t="shared" si="145"/>
        <v>309290.80852413084</v>
      </c>
      <c r="AO87" s="50">
        <f t="shared" si="145"/>
        <v>320956.71924163844</v>
      </c>
      <c r="AP87" s="50">
        <f t="shared" si="145"/>
        <v>333561.10124485276</v>
      </c>
      <c r="AQ87" s="50">
        <f t="shared" si="145"/>
        <v>348552.75131228473</v>
      </c>
      <c r="AR87" s="50">
        <f t="shared" si="145"/>
        <v>361992.16597354173</v>
      </c>
      <c r="AS87" s="50">
        <f t="shared" si="145"/>
        <v>378828.23497302097</v>
      </c>
      <c r="AT87" s="50">
        <f t="shared" si="145"/>
        <v>398720.9588292226</v>
      </c>
      <c r="AU87" s="50">
        <f t="shared" si="145"/>
        <v>412218.73380827031</v>
      </c>
      <c r="AV87" s="50">
        <f t="shared" si="145"/>
        <v>430908.85902144626</v>
      </c>
      <c r="AW87" s="50">
        <f t="shared" si="145"/>
        <v>449951.35659352539</v>
      </c>
      <c r="AX87" s="50">
        <f t="shared" si="145"/>
        <v>465294.64426786848</v>
      </c>
      <c r="AY87" s="50">
        <f t="shared" si="145"/>
        <v>481776.0425048942</v>
      </c>
      <c r="AZ87" s="50">
        <f t="shared" si="145"/>
        <v>498944.4894281904</v>
      </c>
      <c r="BA87" s="50">
        <f t="shared" si="145"/>
        <v>513286.56769315025</v>
      </c>
      <c r="BB87" s="50">
        <f t="shared" si="145"/>
        <v>528966.26095247455</v>
      </c>
      <c r="BC87" s="50">
        <f t="shared" si="145"/>
        <v>542972.58298269217</v>
      </c>
      <c r="BD87" s="50">
        <f t="shared" si="145"/>
        <v>561154.98013420333</v>
      </c>
      <c r="BE87" s="50">
        <f t="shared" si="145"/>
        <v>576876.02749832044</v>
      </c>
      <c r="BF87" s="50">
        <f t="shared" si="145"/>
        <v>597334.66394517315</v>
      </c>
      <c r="BG87" s="50">
        <f t="shared" si="145"/>
        <v>615329.83357517817</v>
      </c>
      <c r="BH87" s="50">
        <f t="shared" si="145"/>
        <v>632660.48568858393</v>
      </c>
      <c r="BI87" s="50">
        <f t="shared" si="145"/>
        <v>652025.57475522987</v>
      </c>
      <c r="BJ87" s="50">
        <f t="shared" si="145"/>
        <v>669824.06038452091</v>
      </c>
      <c r="BK87" s="50">
        <f t="shared" si="145"/>
        <v>688754.9072956132</v>
      </c>
      <c r="BL87" s="50">
        <f t="shared" si="145"/>
        <v>708367.08528781135</v>
      </c>
    </row>
    <row r="88" spans="1:64" x14ac:dyDescent="0.25">
      <c r="A88" s="8" t="s">
        <v>530</v>
      </c>
      <c r="B88" s="10" t="s">
        <v>83</v>
      </c>
      <c r="C88" s="39" t="s">
        <v>531</v>
      </c>
      <c r="E88" s="50">
        <f t="shared" ref="E88:AJ88" si="146">IF(E5=seed_month,seed_amt,0)+IF(E5=a_month,a_amt*a_on,0)</f>
        <v>3500000</v>
      </c>
      <c r="F88" s="50">
        <f t="shared" si="146"/>
        <v>0</v>
      </c>
      <c r="G88" s="50">
        <f t="shared" si="146"/>
        <v>0</v>
      </c>
      <c r="H88" s="50">
        <f t="shared" si="146"/>
        <v>0</v>
      </c>
      <c r="I88" s="50">
        <f t="shared" si="146"/>
        <v>0</v>
      </c>
      <c r="J88" s="50">
        <f t="shared" si="146"/>
        <v>0</v>
      </c>
      <c r="K88" s="50">
        <f t="shared" si="146"/>
        <v>0</v>
      </c>
      <c r="L88" s="50">
        <f t="shared" si="146"/>
        <v>0</v>
      </c>
      <c r="M88" s="50">
        <f t="shared" si="146"/>
        <v>0</v>
      </c>
      <c r="N88" s="50">
        <f t="shared" si="146"/>
        <v>0</v>
      </c>
      <c r="O88" s="50">
        <f t="shared" si="146"/>
        <v>0</v>
      </c>
      <c r="P88" s="50">
        <f t="shared" si="146"/>
        <v>0</v>
      </c>
      <c r="Q88" s="50">
        <f t="shared" si="146"/>
        <v>0</v>
      </c>
      <c r="R88" s="50">
        <f t="shared" si="146"/>
        <v>0</v>
      </c>
      <c r="S88" s="50">
        <f t="shared" si="146"/>
        <v>0</v>
      </c>
      <c r="T88" s="50">
        <f t="shared" si="146"/>
        <v>0</v>
      </c>
      <c r="U88" s="50">
        <f t="shared" si="146"/>
        <v>0</v>
      </c>
      <c r="V88" s="50">
        <f t="shared" si="146"/>
        <v>0</v>
      </c>
      <c r="W88" s="50">
        <f t="shared" si="146"/>
        <v>0</v>
      </c>
      <c r="X88" s="50">
        <f t="shared" si="146"/>
        <v>0</v>
      </c>
      <c r="Y88" s="50">
        <f t="shared" si="146"/>
        <v>10000000</v>
      </c>
      <c r="Z88" s="50">
        <f t="shared" si="146"/>
        <v>0</v>
      </c>
      <c r="AA88" s="50">
        <f t="shared" si="146"/>
        <v>0</v>
      </c>
      <c r="AB88" s="50">
        <f t="shared" si="146"/>
        <v>0</v>
      </c>
      <c r="AC88" s="50">
        <f t="shared" si="146"/>
        <v>0</v>
      </c>
      <c r="AD88" s="50">
        <f t="shared" si="146"/>
        <v>0</v>
      </c>
      <c r="AE88" s="50">
        <f t="shared" si="146"/>
        <v>0</v>
      </c>
      <c r="AF88" s="50">
        <f t="shared" si="146"/>
        <v>0</v>
      </c>
      <c r="AG88" s="50">
        <f t="shared" si="146"/>
        <v>0</v>
      </c>
      <c r="AH88" s="50">
        <f t="shared" si="146"/>
        <v>0</v>
      </c>
      <c r="AI88" s="50">
        <f t="shared" si="146"/>
        <v>0</v>
      </c>
      <c r="AJ88" s="50">
        <f t="shared" si="146"/>
        <v>0</v>
      </c>
      <c r="AK88" s="50">
        <f t="shared" ref="AK88:BL88" si="147">IF(AK5=seed_month,seed_amt,0)+IF(AK5=a_month,a_amt*a_on,0)</f>
        <v>0</v>
      </c>
      <c r="AL88" s="50">
        <f t="shared" si="147"/>
        <v>0</v>
      </c>
      <c r="AM88" s="50">
        <f t="shared" si="147"/>
        <v>0</v>
      </c>
      <c r="AN88" s="50">
        <f t="shared" si="147"/>
        <v>0</v>
      </c>
      <c r="AO88" s="50">
        <f t="shared" si="147"/>
        <v>0</v>
      </c>
      <c r="AP88" s="50">
        <f t="shared" si="147"/>
        <v>0</v>
      </c>
      <c r="AQ88" s="50">
        <f t="shared" si="147"/>
        <v>0</v>
      </c>
      <c r="AR88" s="50">
        <f t="shared" si="147"/>
        <v>0</v>
      </c>
      <c r="AS88" s="50">
        <f t="shared" si="147"/>
        <v>0</v>
      </c>
      <c r="AT88" s="50">
        <f t="shared" si="147"/>
        <v>0</v>
      </c>
      <c r="AU88" s="50">
        <f t="shared" si="147"/>
        <v>0</v>
      </c>
      <c r="AV88" s="50">
        <f t="shared" si="147"/>
        <v>0</v>
      </c>
      <c r="AW88" s="50">
        <f t="shared" si="147"/>
        <v>0</v>
      </c>
      <c r="AX88" s="50">
        <f t="shared" si="147"/>
        <v>0</v>
      </c>
      <c r="AY88" s="50">
        <f t="shared" si="147"/>
        <v>0</v>
      </c>
      <c r="AZ88" s="50">
        <f t="shared" si="147"/>
        <v>0</v>
      </c>
      <c r="BA88" s="50">
        <f t="shared" si="147"/>
        <v>0</v>
      </c>
      <c r="BB88" s="50">
        <f t="shared" si="147"/>
        <v>0</v>
      </c>
      <c r="BC88" s="50">
        <f t="shared" si="147"/>
        <v>0</v>
      </c>
      <c r="BD88" s="50">
        <f t="shared" si="147"/>
        <v>0</v>
      </c>
      <c r="BE88" s="50">
        <f t="shared" si="147"/>
        <v>0</v>
      </c>
      <c r="BF88" s="50">
        <f t="shared" si="147"/>
        <v>0</v>
      </c>
      <c r="BG88" s="50">
        <f t="shared" si="147"/>
        <v>0</v>
      </c>
      <c r="BH88" s="50">
        <f t="shared" si="147"/>
        <v>0</v>
      </c>
      <c r="BI88" s="50">
        <f t="shared" si="147"/>
        <v>0</v>
      </c>
      <c r="BJ88" s="50">
        <f t="shared" si="147"/>
        <v>0</v>
      </c>
      <c r="BK88" s="50">
        <f t="shared" si="147"/>
        <v>0</v>
      </c>
      <c r="BL88" s="50">
        <f t="shared" si="147"/>
        <v>0</v>
      </c>
    </row>
    <row r="89" spans="1:64" x14ac:dyDescent="0.25">
      <c r="A89" s="44" t="s">
        <v>532</v>
      </c>
      <c r="B89" s="10" t="s">
        <v>83</v>
      </c>
      <c r="C89" s="39" t="s">
        <v>533</v>
      </c>
      <c r="D89" s="52">
        <f>cash_open</f>
        <v>250000</v>
      </c>
      <c r="E89" s="51">
        <f t="shared" ref="E89:AJ89" si="148">D89+E83+E76-(E86-D86)+(E87-D87)-E75+E88</f>
        <v>3692918</v>
      </c>
      <c r="F89" s="51">
        <f t="shared" si="148"/>
        <v>3592797.2686600001</v>
      </c>
      <c r="G89" s="51">
        <f t="shared" si="148"/>
        <v>3465185.8970042407</v>
      </c>
      <c r="H89" s="51">
        <f t="shared" si="148"/>
        <v>3332832.6320922035</v>
      </c>
      <c r="I89" s="51">
        <f t="shared" si="148"/>
        <v>3206561.0242036614</v>
      </c>
      <c r="J89" s="51">
        <f t="shared" si="148"/>
        <v>3061177.4641012684</v>
      </c>
      <c r="K89" s="51">
        <f t="shared" si="148"/>
        <v>2922036.7204419826</v>
      </c>
      <c r="L89" s="51">
        <f t="shared" si="148"/>
        <v>2775058.0190344043</v>
      </c>
      <c r="M89" s="51">
        <f t="shared" si="148"/>
        <v>2606648.9764771159</v>
      </c>
      <c r="N89" s="51">
        <f t="shared" si="148"/>
        <v>2440917.580389611</v>
      </c>
      <c r="O89" s="51">
        <f t="shared" si="148"/>
        <v>2271884.8673907514</v>
      </c>
      <c r="P89" s="51">
        <f t="shared" si="148"/>
        <v>2112399.9351450414</v>
      </c>
      <c r="Q89" s="51">
        <f t="shared" si="148"/>
        <v>1925488.8918607405</v>
      </c>
      <c r="R89" s="51">
        <f t="shared" si="148"/>
        <v>1742525.4724695652</v>
      </c>
      <c r="S89" s="51">
        <f t="shared" si="148"/>
        <v>1557183.0981789837</v>
      </c>
      <c r="T89" s="51">
        <f t="shared" si="148"/>
        <v>1368281.826239452</v>
      </c>
      <c r="U89" s="51">
        <f t="shared" si="148"/>
        <v>1180726.0126834719</v>
      </c>
      <c r="V89" s="51">
        <f t="shared" si="148"/>
        <v>992392.77122583461</v>
      </c>
      <c r="W89" s="51">
        <f t="shared" si="148"/>
        <v>786253.42943325371</v>
      </c>
      <c r="X89" s="51">
        <f t="shared" si="148"/>
        <v>638505.1145233456</v>
      </c>
      <c r="Y89" s="51">
        <f t="shared" si="148"/>
        <v>10449005.053754138</v>
      </c>
      <c r="Z89" s="51">
        <f t="shared" si="148"/>
        <v>10240152.4079368</v>
      </c>
      <c r="AA89" s="51">
        <f t="shared" si="148"/>
        <v>10052883.709447853</v>
      </c>
      <c r="AB89" s="51">
        <f t="shared" si="148"/>
        <v>9883441.3092244714</v>
      </c>
      <c r="AC89" s="51">
        <f t="shared" si="148"/>
        <v>9722357.3930663131</v>
      </c>
      <c r="AD89" s="51">
        <f t="shared" si="148"/>
        <v>9565301.227864733</v>
      </c>
      <c r="AE89" s="51">
        <f t="shared" si="148"/>
        <v>9420242.431550201</v>
      </c>
      <c r="AF89" s="51">
        <f t="shared" si="148"/>
        <v>9251670.0271330662</v>
      </c>
      <c r="AG89" s="51">
        <f t="shared" si="148"/>
        <v>9109135.023459075</v>
      </c>
      <c r="AH89" s="51">
        <f t="shared" si="148"/>
        <v>8936030.8178709596</v>
      </c>
      <c r="AI89" s="51">
        <f t="shared" si="148"/>
        <v>8724914.2533596791</v>
      </c>
      <c r="AJ89" s="51">
        <f t="shared" si="148"/>
        <v>8570759.7573599853</v>
      </c>
      <c r="AK89" s="51">
        <f t="shared" ref="AK89:BP89" si="149">AJ89+AK83+AK76-(AK86-AJ86)+(AK87-AJ87)-AK75+AK88</f>
        <v>8423043.4703155216</v>
      </c>
      <c r="AL89" s="51">
        <f t="shared" si="149"/>
        <v>8297743.2741393056</v>
      </c>
      <c r="AM89" s="51">
        <f t="shared" si="149"/>
        <v>8191877.2205699049</v>
      </c>
      <c r="AN89" s="51">
        <f t="shared" si="149"/>
        <v>8052681.0594236236</v>
      </c>
      <c r="AO89" s="51">
        <f t="shared" si="149"/>
        <v>7943596.3287430098</v>
      </c>
      <c r="AP89" s="51">
        <f t="shared" si="149"/>
        <v>7869101.7123016845</v>
      </c>
      <c r="AQ89" s="51">
        <f t="shared" si="149"/>
        <v>7796599.4627171643</v>
      </c>
      <c r="AR89" s="51">
        <f t="shared" si="149"/>
        <v>7761562.3049901584</v>
      </c>
      <c r="AS89" s="51">
        <f t="shared" si="149"/>
        <v>7741561.8199070683</v>
      </c>
      <c r="AT89" s="51">
        <f t="shared" si="149"/>
        <v>7696414.0119501101</v>
      </c>
      <c r="AU89" s="51">
        <f t="shared" si="149"/>
        <v>7707263.2082781335</v>
      </c>
      <c r="AV89" s="51">
        <f t="shared" si="149"/>
        <v>7727440.4232075997</v>
      </c>
      <c r="AW89" s="51">
        <f t="shared" si="149"/>
        <v>7756936.7427443825</v>
      </c>
      <c r="AX89" s="51">
        <f t="shared" si="149"/>
        <v>7835064.4293421283</v>
      </c>
      <c r="AY89" s="51">
        <f t="shared" si="149"/>
        <v>7942409.8049707618</v>
      </c>
      <c r="AZ89" s="51">
        <f t="shared" si="149"/>
        <v>8008858.6464980319</v>
      </c>
      <c r="BA89" s="51">
        <f t="shared" si="149"/>
        <v>8151280.2222870896</v>
      </c>
      <c r="BB89" s="51">
        <f t="shared" si="149"/>
        <v>8388505.7859129831</v>
      </c>
      <c r="BC89" s="51">
        <f t="shared" si="149"/>
        <v>8684564.3095110394</v>
      </c>
      <c r="BD89" s="51">
        <f t="shared" si="149"/>
        <v>9008610.0329116266</v>
      </c>
      <c r="BE89" s="51">
        <f t="shared" si="149"/>
        <v>9407220.6921270471</v>
      </c>
      <c r="BF89" s="51">
        <f t="shared" si="149"/>
        <v>9801905.7223671935</v>
      </c>
      <c r="BG89" s="51">
        <f t="shared" si="149"/>
        <v>10248262.981961973</v>
      </c>
      <c r="BH89" s="51">
        <f t="shared" si="149"/>
        <v>10758196.285830505</v>
      </c>
      <c r="BI89" s="51">
        <f t="shared" si="149"/>
        <v>11301034.837461825</v>
      </c>
      <c r="BJ89" s="51">
        <f t="shared" si="149"/>
        <v>11912673.962497406</v>
      </c>
      <c r="BK89" s="51">
        <f t="shared" si="149"/>
        <v>12576834.432605855</v>
      </c>
      <c r="BL89" s="51">
        <f t="shared" si="149"/>
        <v>12940986.177740345</v>
      </c>
    </row>
    <row r="90" spans="1:64" x14ac:dyDescent="0.25">
      <c r="A90" s="19" t="s">
        <v>534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</row>
    <row r="91" spans="1:64" x14ac:dyDescent="0.25">
      <c r="A91" s="8" t="s">
        <v>535</v>
      </c>
      <c r="B91" s="10" t="s">
        <v>83</v>
      </c>
      <c r="C91" s="39" t="s">
        <v>536</v>
      </c>
      <c r="D91" s="50">
        <f>cash_open</f>
        <v>250000</v>
      </c>
      <c r="E91" s="50">
        <f t="shared" ref="E91:AJ91" si="150">E89-IF(E5&gt;=a_month,a_amt*a_on,0)</f>
        <v>3692918</v>
      </c>
      <c r="F91" s="50">
        <f t="shared" si="150"/>
        <v>3592797.2686600001</v>
      </c>
      <c r="G91" s="50">
        <f t="shared" si="150"/>
        <v>3465185.8970042407</v>
      </c>
      <c r="H91" s="50">
        <f t="shared" si="150"/>
        <v>3332832.6320922035</v>
      </c>
      <c r="I91" s="50">
        <f t="shared" si="150"/>
        <v>3206561.0242036614</v>
      </c>
      <c r="J91" s="50">
        <f t="shared" si="150"/>
        <v>3061177.4641012684</v>
      </c>
      <c r="K91" s="50">
        <f t="shared" si="150"/>
        <v>2922036.7204419826</v>
      </c>
      <c r="L91" s="50">
        <f t="shared" si="150"/>
        <v>2775058.0190344043</v>
      </c>
      <c r="M91" s="50">
        <f t="shared" si="150"/>
        <v>2606648.9764771159</v>
      </c>
      <c r="N91" s="50">
        <f t="shared" si="150"/>
        <v>2440917.580389611</v>
      </c>
      <c r="O91" s="50">
        <f t="shared" si="150"/>
        <v>2271884.8673907514</v>
      </c>
      <c r="P91" s="50">
        <f t="shared" si="150"/>
        <v>2112399.9351450414</v>
      </c>
      <c r="Q91" s="50">
        <f t="shared" si="150"/>
        <v>1925488.8918607405</v>
      </c>
      <c r="R91" s="50">
        <f t="shared" si="150"/>
        <v>1742525.4724695652</v>
      </c>
      <c r="S91" s="50">
        <f t="shared" si="150"/>
        <v>1557183.0981789837</v>
      </c>
      <c r="T91" s="50">
        <f t="shared" si="150"/>
        <v>1368281.826239452</v>
      </c>
      <c r="U91" s="50">
        <f t="shared" si="150"/>
        <v>1180726.0126834719</v>
      </c>
      <c r="V91" s="50">
        <f t="shared" si="150"/>
        <v>992392.77122583461</v>
      </c>
      <c r="W91" s="50">
        <f t="shared" si="150"/>
        <v>786253.42943325371</v>
      </c>
      <c r="X91" s="50">
        <f t="shared" si="150"/>
        <v>638505.1145233456</v>
      </c>
      <c r="Y91" s="50">
        <f t="shared" si="150"/>
        <v>449005.05375413783</v>
      </c>
      <c r="Z91" s="50">
        <f t="shared" si="150"/>
        <v>240152.40793680027</v>
      </c>
      <c r="AA91" s="50">
        <f t="shared" si="150"/>
        <v>52883.709447853267</v>
      </c>
      <c r="AB91" s="50">
        <f t="shared" si="150"/>
        <v>-116558.69077552855</v>
      </c>
      <c r="AC91" s="50">
        <f t="shared" si="150"/>
        <v>-277642.60693368688</v>
      </c>
      <c r="AD91" s="50">
        <f t="shared" si="150"/>
        <v>-434698.77213526703</v>
      </c>
      <c r="AE91" s="50">
        <f t="shared" si="150"/>
        <v>-579757.56844979897</v>
      </c>
      <c r="AF91" s="50">
        <f t="shared" si="150"/>
        <v>-748329.97286693379</v>
      </c>
      <c r="AG91" s="50">
        <f t="shared" si="150"/>
        <v>-890864.97654092498</v>
      </c>
      <c r="AH91" s="50">
        <f t="shared" si="150"/>
        <v>-1063969.1821290404</v>
      </c>
      <c r="AI91" s="50">
        <f t="shared" si="150"/>
        <v>-1275085.7466403209</v>
      </c>
      <c r="AJ91" s="50">
        <f t="shared" si="150"/>
        <v>-1429240.2426400147</v>
      </c>
      <c r="AK91" s="50">
        <f t="shared" ref="AK91:BL91" si="151">AK89-IF(AK5&gt;=a_month,a_amt*a_on,0)</f>
        <v>-1576956.5296844784</v>
      </c>
      <c r="AL91" s="50">
        <f t="shared" si="151"/>
        <v>-1702256.7258606944</v>
      </c>
      <c r="AM91" s="50">
        <f t="shared" si="151"/>
        <v>-1808122.7794300951</v>
      </c>
      <c r="AN91" s="50">
        <f t="shared" si="151"/>
        <v>-1947318.9405763764</v>
      </c>
      <c r="AO91" s="50">
        <f t="shared" si="151"/>
        <v>-2056403.6712569902</v>
      </c>
      <c r="AP91" s="50">
        <f t="shared" si="151"/>
        <v>-2130898.2876983155</v>
      </c>
      <c r="AQ91" s="50">
        <f t="shared" si="151"/>
        <v>-2203400.5372828357</v>
      </c>
      <c r="AR91" s="50">
        <f t="shared" si="151"/>
        <v>-2238437.6950098416</v>
      </c>
      <c r="AS91" s="50">
        <f t="shared" si="151"/>
        <v>-2258438.1800929317</v>
      </c>
      <c r="AT91" s="50">
        <f t="shared" si="151"/>
        <v>-2303585.9880498899</v>
      </c>
      <c r="AU91" s="50">
        <f t="shared" si="151"/>
        <v>-2292736.7917218665</v>
      </c>
      <c r="AV91" s="50">
        <f t="shared" si="151"/>
        <v>-2272559.5767924003</v>
      </c>
      <c r="AW91" s="50">
        <f t="shared" si="151"/>
        <v>-2243063.2572556175</v>
      </c>
      <c r="AX91" s="50">
        <f t="shared" si="151"/>
        <v>-2164935.5706578717</v>
      </c>
      <c r="AY91" s="50">
        <f t="shared" si="151"/>
        <v>-2057590.1950292382</v>
      </c>
      <c r="AZ91" s="50">
        <f t="shared" si="151"/>
        <v>-1991141.3535019681</v>
      </c>
      <c r="BA91" s="50">
        <f t="shared" si="151"/>
        <v>-1848719.7777129104</v>
      </c>
      <c r="BB91" s="50">
        <f t="shared" si="151"/>
        <v>-1611494.2140870169</v>
      </c>
      <c r="BC91" s="50">
        <f t="shared" si="151"/>
        <v>-1315435.6904889606</v>
      </c>
      <c r="BD91" s="50">
        <f t="shared" si="151"/>
        <v>-991389.96708837338</v>
      </c>
      <c r="BE91" s="50">
        <f t="shared" si="151"/>
        <v>-592779.30787295289</v>
      </c>
      <c r="BF91" s="50">
        <f t="shared" si="151"/>
        <v>-198094.27763280645</v>
      </c>
      <c r="BG91" s="50">
        <f t="shared" si="151"/>
        <v>248262.98196197301</v>
      </c>
      <c r="BH91" s="50">
        <f t="shared" si="151"/>
        <v>758196.28583050519</v>
      </c>
      <c r="BI91" s="50">
        <f t="shared" si="151"/>
        <v>1301034.8374618255</v>
      </c>
      <c r="BJ91" s="50">
        <f t="shared" si="151"/>
        <v>1912673.9624974057</v>
      </c>
      <c r="BK91" s="50">
        <f t="shared" si="151"/>
        <v>2576834.4326058552</v>
      </c>
      <c r="BL91" s="50">
        <f t="shared" si="151"/>
        <v>2940986.1777403448</v>
      </c>
    </row>
    <row r="92" spans="1:64" x14ac:dyDescent="0.25">
      <c r="A92" s="8" t="s">
        <v>537</v>
      </c>
      <c r="B92" s="10" t="s">
        <v>538</v>
      </c>
      <c r="E92" s="24">
        <f t="shared" ref="E92:AJ92" si="152">IF(AND(E50&gt;=gate_arr,E40&gt;=gate_ag),1,0)</f>
        <v>0</v>
      </c>
      <c r="F92" s="24">
        <f t="shared" si="152"/>
        <v>0</v>
      </c>
      <c r="G92" s="24">
        <f t="shared" si="152"/>
        <v>0</v>
      </c>
      <c r="H92" s="24">
        <f t="shared" si="152"/>
        <v>0</v>
      </c>
      <c r="I92" s="24">
        <f t="shared" si="152"/>
        <v>0</v>
      </c>
      <c r="J92" s="24">
        <f t="shared" si="152"/>
        <v>0</v>
      </c>
      <c r="K92" s="24">
        <f t="shared" si="152"/>
        <v>0</v>
      </c>
      <c r="L92" s="24">
        <f t="shared" si="152"/>
        <v>0</v>
      </c>
      <c r="M92" s="24">
        <f t="shared" si="152"/>
        <v>0</v>
      </c>
      <c r="N92" s="24">
        <f t="shared" si="152"/>
        <v>0</v>
      </c>
      <c r="O92" s="24">
        <f t="shared" si="152"/>
        <v>0</v>
      </c>
      <c r="P92" s="24">
        <f t="shared" si="152"/>
        <v>0</v>
      </c>
      <c r="Q92" s="24">
        <f t="shared" si="152"/>
        <v>0</v>
      </c>
      <c r="R92" s="24">
        <f t="shared" si="152"/>
        <v>0</v>
      </c>
      <c r="S92" s="24">
        <f t="shared" si="152"/>
        <v>0</v>
      </c>
      <c r="T92" s="24">
        <f t="shared" si="152"/>
        <v>0</v>
      </c>
      <c r="U92" s="24">
        <f t="shared" si="152"/>
        <v>0</v>
      </c>
      <c r="V92" s="24">
        <f t="shared" si="152"/>
        <v>0</v>
      </c>
      <c r="W92" s="24">
        <f t="shared" si="152"/>
        <v>0</v>
      </c>
      <c r="X92" s="24">
        <f t="shared" si="152"/>
        <v>1</v>
      </c>
      <c r="Y92" s="24">
        <f t="shared" si="152"/>
        <v>1</v>
      </c>
      <c r="Z92" s="24">
        <f t="shared" si="152"/>
        <v>1</v>
      </c>
      <c r="AA92" s="24">
        <f t="shared" si="152"/>
        <v>1</v>
      </c>
      <c r="AB92" s="24">
        <f t="shared" si="152"/>
        <v>1</v>
      </c>
      <c r="AC92" s="24">
        <f t="shared" si="152"/>
        <v>1</v>
      </c>
      <c r="AD92" s="24">
        <f t="shared" si="152"/>
        <v>1</v>
      </c>
      <c r="AE92" s="24">
        <f t="shared" si="152"/>
        <v>1</v>
      </c>
      <c r="AF92" s="24">
        <f t="shared" si="152"/>
        <v>1</v>
      </c>
      <c r="AG92" s="24">
        <f t="shared" si="152"/>
        <v>1</v>
      </c>
      <c r="AH92" s="24">
        <f t="shared" si="152"/>
        <v>1</v>
      </c>
      <c r="AI92" s="24">
        <f t="shared" si="152"/>
        <v>1</v>
      </c>
      <c r="AJ92" s="24">
        <f t="shared" si="152"/>
        <v>1</v>
      </c>
      <c r="AK92" s="24">
        <f t="shared" ref="AK92:BL92" si="153">IF(AND(AK50&gt;=gate_arr,AK40&gt;=gate_ag),1,0)</f>
        <v>1</v>
      </c>
      <c r="AL92" s="24">
        <f t="shared" si="153"/>
        <v>1</v>
      </c>
      <c r="AM92" s="24">
        <f t="shared" si="153"/>
        <v>1</v>
      </c>
      <c r="AN92" s="24">
        <f t="shared" si="153"/>
        <v>1</v>
      </c>
      <c r="AO92" s="24">
        <f t="shared" si="153"/>
        <v>1</v>
      </c>
      <c r="AP92" s="24">
        <f t="shared" si="153"/>
        <v>1</v>
      </c>
      <c r="AQ92" s="24">
        <f t="shared" si="153"/>
        <v>1</v>
      </c>
      <c r="AR92" s="24">
        <f t="shared" si="153"/>
        <v>1</v>
      </c>
      <c r="AS92" s="24">
        <f t="shared" si="153"/>
        <v>1</v>
      </c>
      <c r="AT92" s="24">
        <f t="shared" si="153"/>
        <v>1</v>
      </c>
      <c r="AU92" s="24">
        <f t="shared" si="153"/>
        <v>1</v>
      </c>
      <c r="AV92" s="24">
        <f t="shared" si="153"/>
        <v>1</v>
      </c>
      <c r="AW92" s="24">
        <f t="shared" si="153"/>
        <v>1</v>
      </c>
      <c r="AX92" s="24">
        <f t="shared" si="153"/>
        <v>1</v>
      </c>
      <c r="AY92" s="24">
        <f t="shared" si="153"/>
        <v>1</v>
      </c>
      <c r="AZ92" s="24">
        <f t="shared" si="153"/>
        <v>1</v>
      </c>
      <c r="BA92" s="24">
        <f t="shared" si="153"/>
        <v>1</v>
      </c>
      <c r="BB92" s="24">
        <f t="shared" si="153"/>
        <v>1</v>
      </c>
      <c r="BC92" s="24">
        <f t="shared" si="153"/>
        <v>1</v>
      </c>
      <c r="BD92" s="24">
        <f t="shared" si="153"/>
        <v>1</v>
      </c>
      <c r="BE92" s="24">
        <f t="shared" si="153"/>
        <v>1</v>
      </c>
      <c r="BF92" s="24">
        <f t="shared" si="153"/>
        <v>1</v>
      </c>
      <c r="BG92" s="24">
        <f t="shared" si="153"/>
        <v>1</v>
      </c>
      <c r="BH92" s="24">
        <f t="shared" si="153"/>
        <v>1</v>
      </c>
      <c r="BI92" s="24">
        <f t="shared" si="153"/>
        <v>1</v>
      </c>
      <c r="BJ92" s="24">
        <f t="shared" si="153"/>
        <v>1</v>
      </c>
      <c r="BK92" s="24">
        <f t="shared" si="153"/>
        <v>1</v>
      </c>
      <c r="BL92" s="24">
        <f t="shared" si="153"/>
        <v>1</v>
      </c>
    </row>
    <row r="93" spans="1:64" x14ac:dyDescent="0.25">
      <c r="A93" s="8" t="s">
        <v>539</v>
      </c>
      <c r="B93" s="10" t="s">
        <v>538</v>
      </c>
      <c r="E93" s="24">
        <f t="shared" ref="E93:AJ93" si="154">IF(E91&lt;0,1,0)</f>
        <v>0</v>
      </c>
      <c r="F93" s="24">
        <f t="shared" si="154"/>
        <v>0</v>
      </c>
      <c r="G93" s="24">
        <f t="shared" si="154"/>
        <v>0</v>
      </c>
      <c r="H93" s="24">
        <f t="shared" si="154"/>
        <v>0</v>
      </c>
      <c r="I93" s="24">
        <f t="shared" si="154"/>
        <v>0</v>
      </c>
      <c r="J93" s="24">
        <f t="shared" si="154"/>
        <v>0</v>
      </c>
      <c r="K93" s="24">
        <f t="shared" si="154"/>
        <v>0</v>
      </c>
      <c r="L93" s="24">
        <f t="shared" si="154"/>
        <v>0</v>
      </c>
      <c r="M93" s="24">
        <f t="shared" si="154"/>
        <v>0</v>
      </c>
      <c r="N93" s="24">
        <f t="shared" si="154"/>
        <v>0</v>
      </c>
      <c r="O93" s="24">
        <f t="shared" si="154"/>
        <v>0</v>
      </c>
      <c r="P93" s="24">
        <f t="shared" si="154"/>
        <v>0</v>
      </c>
      <c r="Q93" s="24">
        <f t="shared" si="154"/>
        <v>0</v>
      </c>
      <c r="R93" s="24">
        <f t="shared" si="154"/>
        <v>0</v>
      </c>
      <c r="S93" s="24">
        <f t="shared" si="154"/>
        <v>0</v>
      </c>
      <c r="T93" s="24">
        <f t="shared" si="154"/>
        <v>0</v>
      </c>
      <c r="U93" s="24">
        <f t="shared" si="154"/>
        <v>0</v>
      </c>
      <c r="V93" s="24">
        <f t="shared" si="154"/>
        <v>0</v>
      </c>
      <c r="W93" s="24">
        <f t="shared" si="154"/>
        <v>0</v>
      </c>
      <c r="X93" s="24">
        <f t="shared" si="154"/>
        <v>0</v>
      </c>
      <c r="Y93" s="24">
        <f t="shared" si="154"/>
        <v>0</v>
      </c>
      <c r="Z93" s="24">
        <f t="shared" si="154"/>
        <v>0</v>
      </c>
      <c r="AA93" s="24">
        <f t="shared" si="154"/>
        <v>0</v>
      </c>
      <c r="AB93" s="24">
        <f t="shared" si="154"/>
        <v>1</v>
      </c>
      <c r="AC93" s="24">
        <f t="shared" si="154"/>
        <v>1</v>
      </c>
      <c r="AD93" s="24">
        <f t="shared" si="154"/>
        <v>1</v>
      </c>
      <c r="AE93" s="24">
        <f t="shared" si="154"/>
        <v>1</v>
      </c>
      <c r="AF93" s="24">
        <f t="shared" si="154"/>
        <v>1</v>
      </c>
      <c r="AG93" s="24">
        <f t="shared" si="154"/>
        <v>1</v>
      </c>
      <c r="AH93" s="24">
        <f t="shared" si="154"/>
        <v>1</v>
      </c>
      <c r="AI93" s="24">
        <f t="shared" si="154"/>
        <v>1</v>
      </c>
      <c r="AJ93" s="24">
        <f t="shared" si="154"/>
        <v>1</v>
      </c>
      <c r="AK93" s="24">
        <f t="shared" ref="AK93:BL93" si="155">IF(AK91&lt;0,1,0)</f>
        <v>1</v>
      </c>
      <c r="AL93" s="24">
        <f t="shared" si="155"/>
        <v>1</v>
      </c>
      <c r="AM93" s="24">
        <f t="shared" si="155"/>
        <v>1</v>
      </c>
      <c r="AN93" s="24">
        <f t="shared" si="155"/>
        <v>1</v>
      </c>
      <c r="AO93" s="24">
        <f t="shared" si="155"/>
        <v>1</v>
      </c>
      <c r="AP93" s="24">
        <f t="shared" si="155"/>
        <v>1</v>
      </c>
      <c r="AQ93" s="24">
        <f t="shared" si="155"/>
        <v>1</v>
      </c>
      <c r="AR93" s="24">
        <f t="shared" si="155"/>
        <v>1</v>
      </c>
      <c r="AS93" s="24">
        <f t="shared" si="155"/>
        <v>1</v>
      </c>
      <c r="AT93" s="24">
        <f t="shared" si="155"/>
        <v>1</v>
      </c>
      <c r="AU93" s="24">
        <f t="shared" si="155"/>
        <v>1</v>
      </c>
      <c r="AV93" s="24">
        <f t="shared" si="155"/>
        <v>1</v>
      </c>
      <c r="AW93" s="24">
        <f t="shared" si="155"/>
        <v>1</v>
      </c>
      <c r="AX93" s="24">
        <f t="shared" si="155"/>
        <v>1</v>
      </c>
      <c r="AY93" s="24">
        <f t="shared" si="155"/>
        <v>1</v>
      </c>
      <c r="AZ93" s="24">
        <f t="shared" si="155"/>
        <v>1</v>
      </c>
      <c r="BA93" s="24">
        <f t="shared" si="155"/>
        <v>1</v>
      </c>
      <c r="BB93" s="24">
        <f t="shared" si="155"/>
        <v>1</v>
      </c>
      <c r="BC93" s="24">
        <f t="shared" si="155"/>
        <v>1</v>
      </c>
      <c r="BD93" s="24">
        <f t="shared" si="155"/>
        <v>1</v>
      </c>
      <c r="BE93" s="24">
        <f t="shared" si="155"/>
        <v>1</v>
      </c>
      <c r="BF93" s="24">
        <f t="shared" si="155"/>
        <v>1</v>
      </c>
      <c r="BG93" s="24">
        <f t="shared" si="155"/>
        <v>0</v>
      </c>
      <c r="BH93" s="24">
        <f t="shared" si="155"/>
        <v>0</v>
      </c>
      <c r="BI93" s="24">
        <f t="shared" si="155"/>
        <v>0</v>
      </c>
      <c r="BJ93" s="24">
        <f t="shared" si="155"/>
        <v>0</v>
      </c>
      <c r="BK93" s="24">
        <f t="shared" si="155"/>
        <v>0</v>
      </c>
      <c r="BL93" s="24">
        <f t="shared" si="155"/>
        <v>0</v>
      </c>
    </row>
    <row r="94" spans="1:64" x14ac:dyDescent="0.25">
      <c r="A94" s="8" t="s">
        <v>540</v>
      </c>
      <c r="B94" s="10" t="s">
        <v>83</v>
      </c>
      <c r="E94" s="50">
        <f t="shared" ref="E94:AJ94" si="156">IF(E5&lt;a_month,E89,"")</f>
        <v>3692918</v>
      </c>
      <c r="F94" s="50">
        <f t="shared" si="156"/>
        <v>3592797.2686600001</v>
      </c>
      <c r="G94" s="50">
        <f t="shared" si="156"/>
        <v>3465185.8970042407</v>
      </c>
      <c r="H94" s="50">
        <f t="shared" si="156"/>
        <v>3332832.6320922035</v>
      </c>
      <c r="I94" s="50">
        <f t="shared" si="156"/>
        <v>3206561.0242036614</v>
      </c>
      <c r="J94" s="50">
        <f t="shared" si="156"/>
        <v>3061177.4641012684</v>
      </c>
      <c r="K94" s="50">
        <f t="shared" si="156"/>
        <v>2922036.7204419826</v>
      </c>
      <c r="L94" s="50">
        <f t="shared" si="156"/>
        <v>2775058.0190344043</v>
      </c>
      <c r="M94" s="50">
        <f t="shared" si="156"/>
        <v>2606648.9764771159</v>
      </c>
      <c r="N94" s="50">
        <f t="shared" si="156"/>
        <v>2440917.580389611</v>
      </c>
      <c r="O94" s="50">
        <f t="shared" si="156"/>
        <v>2271884.8673907514</v>
      </c>
      <c r="P94" s="50">
        <f t="shared" si="156"/>
        <v>2112399.9351450414</v>
      </c>
      <c r="Q94" s="50">
        <f t="shared" si="156"/>
        <v>1925488.8918607405</v>
      </c>
      <c r="R94" s="50">
        <f t="shared" si="156"/>
        <v>1742525.4724695652</v>
      </c>
      <c r="S94" s="50">
        <f t="shared" si="156"/>
        <v>1557183.0981789837</v>
      </c>
      <c r="T94" s="50">
        <f t="shared" si="156"/>
        <v>1368281.826239452</v>
      </c>
      <c r="U94" s="50">
        <f t="shared" si="156"/>
        <v>1180726.0126834719</v>
      </c>
      <c r="V94" s="50">
        <f t="shared" si="156"/>
        <v>992392.77122583461</v>
      </c>
      <c r="W94" s="50">
        <f t="shared" si="156"/>
        <v>786253.42943325371</v>
      </c>
      <c r="X94" s="50">
        <f t="shared" si="156"/>
        <v>638505.1145233456</v>
      </c>
      <c r="Y94" s="50" t="str">
        <f t="shared" si="156"/>
        <v/>
      </c>
      <c r="Z94" s="50" t="str">
        <f t="shared" si="156"/>
        <v/>
      </c>
      <c r="AA94" s="50" t="str">
        <f t="shared" si="156"/>
        <v/>
      </c>
      <c r="AB94" s="50" t="str">
        <f t="shared" si="156"/>
        <v/>
      </c>
      <c r="AC94" s="50" t="str">
        <f t="shared" si="156"/>
        <v/>
      </c>
      <c r="AD94" s="50" t="str">
        <f t="shared" si="156"/>
        <v/>
      </c>
      <c r="AE94" s="50" t="str">
        <f t="shared" si="156"/>
        <v/>
      </c>
      <c r="AF94" s="50" t="str">
        <f t="shared" si="156"/>
        <v/>
      </c>
      <c r="AG94" s="50" t="str">
        <f t="shared" si="156"/>
        <v/>
      </c>
      <c r="AH94" s="50" t="str">
        <f t="shared" si="156"/>
        <v/>
      </c>
      <c r="AI94" s="50" t="str">
        <f t="shared" si="156"/>
        <v/>
      </c>
      <c r="AJ94" s="50" t="str">
        <f t="shared" si="156"/>
        <v/>
      </c>
      <c r="AK94" s="50" t="str">
        <f t="shared" ref="AK94:BL94" si="157">IF(AK5&lt;a_month,AK89,"")</f>
        <v/>
      </c>
      <c r="AL94" s="50" t="str">
        <f t="shared" si="157"/>
        <v/>
      </c>
      <c r="AM94" s="50" t="str">
        <f t="shared" si="157"/>
        <v/>
      </c>
      <c r="AN94" s="50" t="str">
        <f t="shared" si="157"/>
        <v/>
      </c>
      <c r="AO94" s="50" t="str">
        <f t="shared" si="157"/>
        <v/>
      </c>
      <c r="AP94" s="50" t="str">
        <f t="shared" si="157"/>
        <v/>
      </c>
      <c r="AQ94" s="50" t="str">
        <f t="shared" si="157"/>
        <v/>
      </c>
      <c r="AR94" s="50" t="str">
        <f t="shared" si="157"/>
        <v/>
      </c>
      <c r="AS94" s="50" t="str">
        <f t="shared" si="157"/>
        <v/>
      </c>
      <c r="AT94" s="50" t="str">
        <f t="shared" si="157"/>
        <v/>
      </c>
      <c r="AU94" s="50" t="str">
        <f t="shared" si="157"/>
        <v/>
      </c>
      <c r="AV94" s="50" t="str">
        <f t="shared" si="157"/>
        <v/>
      </c>
      <c r="AW94" s="50" t="str">
        <f t="shared" si="157"/>
        <v/>
      </c>
      <c r="AX94" s="50" t="str">
        <f t="shared" si="157"/>
        <v/>
      </c>
      <c r="AY94" s="50" t="str">
        <f t="shared" si="157"/>
        <v/>
      </c>
      <c r="AZ94" s="50" t="str">
        <f t="shared" si="157"/>
        <v/>
      </c>
      <c r="BA94" s="50" t="str">
        <f t="shared" si="157"/>
        <v/>
      </c>
      <c r="BB94" s="50" t="str">
        <f t="shared" si="157"/>
        <v/>
      </c>
      <c r="BC94" s="50" t="str">
        <f t="shared" si="157"/>
        <v/>
      </c>
      <c r="BD94" s="50" t="str">
        <f t="shared" si="157"/>
        <v/>
      </c>
      <c r="BE94" s="50" t="str">
        <f t="shared" si="157"/>
        <v/>
      </c>
      <c r="BF94" s="50" t="str">
        <f t="shared" si="157"/>
        <v/>
      </c>
      <c r="BG94" s="50" t="str">
        <f t="shared" si="157"/>
        <v/>
      </c>
      <c r="BH94" s="50" t="str">
        <f t="shared" si="157"/>
        <v/>
      </c>
      <c r="BI94" s="50" t="str">
        <f t="shared" si="157"/>
        <v/>
      </c>
      <c r="BJ94" s="50" t="str">
        <f t="shared" si="157"/>
        <v/>
      </c>
      <c r="BK94" s="50" t="str">
        <f t="shared" si="157"/>
        <v/>
      </c>
      <c r="BL94" s="50" t="str">
        <f t="shared" si="157"/>
        <v/>
      </c>
    </row>
    <row r="95" spans="1:64" x14ac:dyDescent="0.25">
      <c r="A95" s="8" t="s">
        <v>541</v>
      </c>
      <c r="B95" s="10" t="s">
        <v>83</v>
      </c>
      <c r="E95" s="50" t="str">
        <f t="shared" ref="E95:AJ95" si="158">IF(E5&gt;=a_month,E89,"")</f>
        <v/>
      </c>
      <c r="F95" s="50" t="str">
        <f t="shared" si="158"/>
        <v/>
      </c>
      <c r="G95" s="50" t="str">
        <f t="shared" si="158"/>
        <v/>
      </c>
      <c r="H95" s="50" t="str">
        <f t="shared" si="158"/>
        <v/>
      </c>
      <c r="I95" s="50" t="str">
        <f t="shared" si="158"/>
        <v/>
      </c>
      <c r="J95" s="50" t="str">
        <f t="shared" si="158"/>
        <v/>
      </c>
      <c r="K95" s="50" t="str">
        <f t="shared" si="158"/>
        <v/>
      </c>
      <c r="L95" s="50" t="str">
        <f t="shared" si="158"/>
        <v/>
      </c>
      <c r="M95" s="50" t="str">
        <f t="shared" si="158"/>
        <v/>
      </c>
      <c r="N95" s="50" t="str">
        <f t="shared" si="158"/>
        <v/>
      </c>
      <c r="O95" s="50" t="str">
        <f t="shared" si="158"/>
        <v/>
      </c>
      <c r="P95" s="50" t="str">
        <f t="shared" si="158"/>
        <v/>
      </c>
      <c r="Q95" s="50" t="str">
        <f t="shared" si="158"/>
        <v/>
      </c>
      <c r="R95" s="50" t="str">
        <f t="shared" si="158"/>
        <v/>
      </c>
      <c r="S95" s="50" t="str">
        <f t="shared" si="158"/>
        <v/>
      </c>
      <c r="T95" s="50" t="str">
        <f t="shared" si="158"/>
        <v/>
      </c>
      <c r="U95" s="50" t="str">
        <f t="shared" si="158"/>
        <v/>
      </c>
      <c r="V95" s="50" t="str">
        <f t="shared" si="158"/>
        <v/>
      </c>
      <c r="W95" s="50" t="str">
        <f t="shared" si="158"/>
        <v/>
      </c>
      <c r="X95" s="50" t="str">
        <f t="shared" si="158"/>
        <v/>
      </c>
      <c r="Y95" s="50">
        <f t="shared" si="158"/>
        <v>10449005.053754138</v>
      </c>
      <c r="Z95" s="50">
        <f t="shared" si="158"/>
        <v>10240152.4079368</v>
      </c>
      <c r="AA95" s="50">
        <f t="shared" si="158"/>
        <v>10052883.709447853</v>
      </c>
      <c r="AB95" s="50">
        <f t="shared" si="158"/>
        <v>9883441.3092244714</v>
      </c>
      <c r="AC95" s="50">
        <f t="shared" si="158"/>
        <v>9722357.3930663131</v>
      </c>
      <c r="AD95" s="50">
        <f t="shared" si="158"/>
        <v>9565301.227864733</v>
      </c>
      <c r="AE95" s="50">
        <f t="shared" si="158"/>
        <v>9420242.431550201</v>
      </c>
      <c r="AF95" s="50">
        <f t="shared" si="158"/>
        <v>9251670.0271330662</v>
      </c>
      <c r="AG95" s="50">
        <f t="shared" si="158"/>
        <v>9109135.023459075</v>
      </c>
      <c r="AH95" s="50">
        <f t="shared" si="158"/>
        <v>8936030.8178709596</v>
      </c>
      <c r="AI95" s="50">
        <f t="shared" si="158"/>
        <v>8724914.2533596791</v>
      </c>
      <c r="AJ95" s="50">
        <f t="shared" si="158"/>
        <v>8570759.7573599853</v>
      </c>
      <c r="AK95" s="50">
        <f t="shared" ref="AK95:BL95" si="159">IF(AK5&gt;=a_month,AK89,"")</f>
        <v>8423043.4703155216</v>
      </c>
      <c r="AL95" s="50">
        <f t="shared" si="159"/>
        <v>8297743.2741393056</v>
      </c>
      <c r="AM95" s="50">
        <f t="shared" si="159"/>
        <v>8191877.2205699049</v>
      </c>
      <c r="AN95" s="50">
        <f t="shared" si="159"/>
        <v>8052681.0594236236</v>
      </c>
      <c r="AO95" s="50">
        <f t="shared" si="159"/>
        <v>7943596.3287430098</v>
      </c>
      <c r="AP95" s="50">
        <f t="shared" si="159"/>
        <v>7869101.7123016845</v>
      </c>
      <c r="AQ95" s="50">
        <f t="shared" si="159"/>
        <v>7796599.4627171643</v>
      </c>
      <c r="AR95" s="50">
        <f t="shared" si="159"/>
        <v>7761562.3049901584</v>
      </c>
      <c r="AS95" s="50">
        <f t="shared" si="159"/>
        <v>7741561.8199070683</v>
      </c>
      <c r="AT95" s="50">
        <f t="shared" si="159"/>
        <v>7696414.0119501101</v>
      </c>
      <c r="AU95" s="50">
        <f t="shared" si="159"/>
        <v>7707263.2082781335</v>
      </c>
      <c r="AV95" s="50">
        <f t="shared" si="159"/>
        <v>7727440.4232075997</v>
      </c>
      <c r="AW95" s="50">
        <f t="shared" si="159"/>
        <v>7756936.7427443825</v>
      </c>
      <c r="AX95" s="50">
        <f t="shared" si="159"/>
        <v>7835064.4293421283</v>
      </c>
      <c r="AY95" s="50">
        <f t="shared" si="159"/>
        <v>7942409.8049707618</v>
      </c>
      <c r="AZ95" s="50">
        <f t="shared" si="159"/>
        <v>8008858.6464980319</v>
      </c>
      <c r="BA95" s="50">
        <f t="shared" si="159"/>
        <v>8151280.2222870896</v>
      </c>
      <c r="BB95" s="50">
        <f t="shared" si="159"/>
        <v>8388505.7859129831</v>
      </c>
      <c r="BC95" s="50">
        <f t="shared" si="159"/>
        <v>8684564.3095110394</v>
      </c>
      <c r="BD95" s="50">
        <f t="shared" si="159"/>
        <v>9008610.0329116266</v>
      </c>
      <c r="BE95" s="50">
        <f t="shared" si="159"/>
        <v>9407220.6921270471</v>
      </c>
      <c r="BF95" s="50">
        <f t="shared" si="159"/>
        <v>9801905.7223671935</v>
      </c>
      <c r="BG95" s="50">
        <f t="shared" si="159"/>
        <v>10248262.981961973</v>
      </c>
      <c r="BH95" s="50">
        <f t="shared" si="159"/>
        <v>10758196.285830505</v>
      </c>
      <c r="BI95" s="50">
        <f t="shared" si="159"/>
        <v>11301034.837461825</v>
      </c>
      <c r="BJ95" s="50">
        <f t="shared" si="159"/>
        <v>11912673.962497406</v>
      </c>
      <c r="BK95" s="50">
        <f t="shared" si="159"/>
        <v>12576834.432605855</v>
      </c>
      <c r="BL95" s="50">
        <f t="shared" si="159"/>
        <v>12940986.177740345</v>
      </c>
    </row>
    <row r="96" spans="1:64" x14ac:dyDescent="0.25">
      <c r="A96" s="8" t="s">
        <v>542</v>
      </c>
      <c r="B96" s="10" t="s">
        <v>538</v>
      </c>
      <c r="E96" s="24">
        <f t="shared" ref="E96:AJ96" si="160">IF(AND(E74&gt;0,F96=1),1,0)</f>
        <v>0</v>
      </c>
      <c r="F96" s="24">
        <f t="shared" si="160"/>
        <v>0</v>
      </c>
      <c r="G96" s="24">
        <f t="shared" si="160"/>
        <v>0</v>
      </c>
      <c r="H96" s="24">
        <f t="shared" si="160"/>
        <v>0</v>
      </c>
      <c r="I96" s="24">
        <f t="shared" si="160"/>
        <v>0</v>
      </c>
      <c r="J96" s="24">
        <f t="shared" si="160"/>
        <v>0</v>
      </c>
      <c r="K96" s="24">
        <f t="shared" si="160"/>
        <v>0</v>
      </c>
      <c r="L96" s="24">
        <f t="shared" si="160"/>
        <v>0</v>
      </c>
      <c r="M96" s="24">
        <f t="shared" si="160"/>
        <v>0</v>
      </c>
      <c r="N96" s="24">
        <f t="shared" si="160"/>
        <v>0</v>
      </c>
      <c r="O96" s="24">
        <f t="shared" si="160"/>
        <v>0</v>
      </c>
      <c r="P96" s="24">
        <f t="shared" si="160"/>
        <v>0</v>
      </c>
      <c r="Q96" s="24">
        <f t="shared" si="160"/>
        <v>0</v>
      </c>
      <c r="R96" s="24">
        <f t="shared" si="160"/>
        <v>0</v>
      </c>
      <c r="S96" s="24">
        <f t="shared" si="160"/>
        <v>0</v>
      </c>
      <c r="T96" s="24">
        <f t="shared" si="160"/>
        <v>0</v>
      </c>
      <c r="U96" s="24">
        <f t="shared" si="160"/>
        <v>0</v>
      </c>
      <c r="V96" s="24">
        <f t="shared" si="160"/>
        <v>0</v>
      </c>
      <c r="W96" s="24">
        <f t="shared" si="160"/>
        <v>0</v>
      </c>
      <c r="X96" s="24">
        <f t="shared" si="160"/>
        <v>0</v>
      </c>
      <c r="Y96" s="24">
        <f t="shared" si="160"/>
        <v>0</v>
      </c>
      <c r="Z96" s="24">
        <f t="shared" si="160"/>
        <v>0</v>
      </c>
      <c r="AA96" s="24">
        <f t="shared" si="160"/>
        <v>0</v>
      </c>
      <c r="AB96" s="24">
        <f t="shared" si="160"/>
        <v>0</v>
      </c>
      <c r="AC96" s="24">
        <f t="shared" si="160"/>
        <v>0</v>
      </c>
      <c r="AD96" s="24">
        <f t="shared" si="160"/>
        <v>0</v>
      </c>
      <c r="AE96" s="24">
        <f t="shared" si="160"/>
        <v>0</v>
      </c>
      <c r="AF96" s="24">
        <f t="shared" si="160"/>
        <v>0</v>
      </c>
      <c r="AG96" s="24">
        <f t="shared" si="160"/>
        <v>0</v>
      </c>
      <c r="AH96" s="24">
        <f t="shared" si="160"/>
        <v>0</v>
      </c>
      <c r="AI96" s="24">
        <f t="shared" si="160"/>
        <v>0</v>
      </c>
      <c r="AJ96" s="24">
        <f t="shared" si="160"/>
        <v>0</v>
      </c>
      <c r="AK96" s="24">
        <f t="shared" ref="AK96:BK96" si="161">IF(AND(AK74&gt;0,AL96=1),1,0)</f>
        <v>0</v>
      </c>
      <c r="AL96" s="24">
        <f t="shared" si="161"/>
        <v>0</v>
      </c>
      <c r="AM96" s="24">
        <f t="shared" si="161"/>
        <v>0</v>
      </c>
      <c r="AN96" s="24">
        <f t="shared" si="161"/>
        <v>0</v>
      </c>
      <c r="AO96" s="24">
        <f t="shared" si="161"/>
        <v>0</v>
      </c>
      <c r="AP96" s="24">
        <f t="shared" si="161"/>
        <v>0</v>
      </c>
      <c r="AQ96" s="24">
        <f t="shared" si="161"/>
        <v>0</v>
      </c>
      <c r="AR96" s="24">
        <f t="shared" si="161"/>
        <v>1</v>
      </c>
      <c r="AS96" s="24">
        <f t="shared" si="161"/>
        <v>1</v>
      </c>
      <c r="AT96" s="24">
        <f t="shared" si="161"/>
        <v>1</v>
      </c>
      <c r="AU96" s="24">
        <f t="shared" si="161"/>
        <v>1</v>
      </c>
      <c r="AV96" s="24">
        <f t="shared" si="161"/>
        <v>1</v>
      </c>
      <c r="AW96" s="24">
        <f t="shared" si="161"/>
        <v>1</v>
      </c>
      <c r="AX96" s="24">
        <f t="shared" si="161"/>
        <v>1</v>
      </c>
      <c r="AY96" s="24">
        <f t="shared" si="161"/>
        <v>1</v>
      </c>
      <c r="AZ96" s="24">
        <f t="shared" si="161"/>
        <v>1</v>
      </c>
      <c r="BA96" s="24">
        <f t="shared" si="161"/>
        <v>1</v>
      </c>
      <c r="BB96" s="24">
        <f t="shared" si="161"/>
        <v>1</v>
      </c>
      <c r="BC96" s="24">
        <f t="shared" si="161"/>
        <v>1</v>
      </c>
      <c r="BD96" s="24">
        <f t="shared" si="161"/>
        <v>1</v>
      </c>
      <c r="BE96" s="24">
        <f t="shared" si="161"/>
        <v>1</v>
      </c>
      <c r="BF96" s="24">
        <f t="shared" si="161"/>
        <v>1</v>
      </c>
      <c r="BG96" s="24">
        <f t="shared" si="161"/>
        <v>1</v>
      </c>
      <c r="BH96" s="24">
        <f t="shared" si="161"/>
        <v>1</v>
      </c>
      <c r="BI96" s="24">
        <f t="shared" si="161"/>
        <v>1</v>
      </c>
      <c r="BJ96" s="24">
        <f t="shared" si="161"/>
        <v>1</v>
      </c>
      <c r="BK96" s="24">
        <f t="shared" si="161"/>
        <v>1</v>
      </c>
      <c r="BL96" s="24">
        <f>IF(BL74&gt;0,1,0)</f>
        <v>1</v>
      </c>
    </row>
  </sheetData>
  <mergeCells count="1">
    <mergeCell ref="G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E2A55"/>
    <pageSetUpPr fitToPage="1"/>
  </sheetPr>
  <dimension ref="A1:H5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0" customWidth="1"/>
    <col min="2" max="2" width="3" customWidth="1"/>
    <col min="3" max="8" width="15" customWidth="1"/>
  </cols>
  <sheetData>
    <row r="1" spans="1:8" ht="19.5" x14ac:dyDescent="0.3">
      <c r="A1" s="17" t="s">
        <v>543</v>
      </c>
      <c r="F1" s="125" t="s">
        <v>1</v>
      </c>
      <c r="G1" s="122"/>
      <c r="H1" s="122"/>
    </row>
    <row r="2" spans="1:8" x14ac:dyDescent="0.25">
      <c r="A2" s="4" t="s">
        <v>544</v>
      </c>
    </row>
    <row r="4" spans="1:8" x14ac:dyDescent="0.25">
      <c r="A4" s="7" t="s">
        <v>545</v>
      </c>
      <c r="B4" s="53"/>
      <c r="C4" s="54">
        <f>start_year+0</f>
        <v>2027</v>
      </c>
      <c r="D4" s="54">
        <f>start_year+1</f>
        <v>2028</v>
      </c>
      <c r="E4" s="54">
        <f>start_year+2</f>
        <v>2029</v>
      </c>
      <c r="F4" s="54">
        <f>start_year+3</f>
        <v>2030</v>
      </c>
      <c r="G4" s="54">
        <f>start_year+4</f>
        <v>2031</v>
      </c>
      <c r="H4" s="55" t="s">
        <v>546</v>
      </c>
    </row>
    <row r="5" spans="1:8" x14ac:dyDescent="0.25">
      <c r="A5" s="19" t="s">
        <v>143</v>
      </c>
      <c r="B5" s="20"/>
      <c r="C5" s="20"/>
      <c r="D5" s="20"/>
      <c r="E5" s="20"/>
      <c r="F5" s="20"/>
      <c r="G5" s="20"/>
      <c r="H5" s="20"/>
    </row>
    <row r="6" spans="1:8" x14ac:dyDescent="0.25">
      <c r="A6" s="8" t="s">
        <v>547</v>
      </c>
      <c r="C6" s="43">
        <f>INDEX(Monthly!$E$37:$BL$37,(C$4-start_year+1)*12)</f>
        <v>76.053297001121422</v>
      </c>
      <c r="D6" s="43">
        <f>INDEX(Monthly!$E$37:$BL$37,(D$4-start_year+1)*12)</f>
        <v>217.13343093716676</v>
      </c>
      <c r="E6" s="43">
        <f>INDEX(Monthly!$E$37:$BL$37,(E$4-start_year+1)*12)</f>
        <v>441.04909282916014</v>
      </c>
      <c r="F6" s="43">
        <f>INDEX(Monthly!$E$37:$BL$37,(F$4-start_year+1)*12)</f>
        <v>745.52563302422425</v>
      </c>
      <c r="G6" s="43">
        <f>INDEX(Monthly!$E$37:$BL$37,(G$4-start_year+1)*12)</f>
        <v>1113.9151780028672</v>
      </c>
    </row>
    <row r="7" spans="1:8" x14ac:dyDescent="0.25">
      <c r="A7" s="8" t="s">
        <v>548</v>
      </c>
      <c r="C7" s="43">
        <f>INDEX(Monthly!$E$38:$BL$38,(C$4-start_year+1)*12)</f>
        <v>0</v>
      </c>
      <c r="D7" s="43">
        <f>INDEX(Monthly!$E$38:$BL$38,(D$4-start_year+1)*12)</f>
        <v>0</v>
      </c>
      <c r="E7" s="43">
        <f>INDEX(Monthly!$E$38:$BL$38,(E$4-start_year+1)*12)</f>
        <v>29.899674581635441</v>
      </c>
      <c r="F7" s="43">
        <f>INDEX(Monthly!$E$38:$BL$38,(F$4-start_year+1)*12)</f>
        <v>105.41511832831986</v>
      </c>
      <c r="G7" s="43">
        <f>INDEX(Monthly!$E$38:$BL$38,(G$4-start_year+1)*12)</f>
        <v>191.23121576848496</v>
      </c>
    </row>
    <row r="8" spans="1:8" x14ac:dyDescent="0.25">
      <c r="A8" s="8" t="s">
        <v>549</v>
      </c>
      <c r="C8" s="43">
        <f>INDEX(Monthly!$E$39:$BL$39,(C$4-start_year+1)*12)</f>
        <v>0</v>
      </c>
      <c r="D8" s="43">
        <f>INDEX(Monthly!$E$39:$BL$39,(D$4-start_year+1)*12)</f>
        <v>0</v>
      </c>
      <c r="E8" s="43">
        <f>INDEX(Monthly!$E$39:$BL$39,(E$4-start_year+1)*12)</f>
        <v>0</v>
      </c>
      <c r="F8" s="43">
        <f>INDEX(Monthly!$E$39:$BL$39,(F$4-start_year+1)*12)</f>
        <v>11.850996505000001</v>
      </c>
      <c r="G8" s="43">
        <f>INDEX(Monthly!$E$39:$BL$39,(G$4-start_year+1)*12)</f>
        <v>58.930645330341022</v>
      </c>
    </row>
    <row r="9" spans="1:8" x14ac:dyDescent="0.25">
      <c r="A9" s="44" t="s">
        <v>550</v>
      </c>
      <c r="C9" s="46">
        <f>INDEX(Monthly!$E$40:$BL$40,(C$4-start_year+1)*12)</f>
        <v>76.053297001121422</v>
      </c>
      <c r="D9" s="46">
        <f>INDEX(Monthly!$E$40:$BL$40,(D$4-start_year+1)*12)</f>
        <v>217.13343093716676</v>
      </c>
      <c r="E9" s="46">
        <f>INDEX(Monthly!$E$40:$BL$40,(E$4-start_year+1)*12)</f>
        <v>470.9487674107956</v>
      </c>
      <c r="F9" s="46">
        <f>INDEX(Monthly!$E$40:$BL$40,(F$4-start_year+1)*12)</f>
        <v>862.79174785754412</v>
      </c>
      <c r="G9" s="46">
        <f>INDEX(Monthly!$E$40:$BL$40,(G$4-start_year+1)*12)</f>
        <v>1364.0770391016931</v>
      </c>
    </row>
    <row r="10" spans="1:8" x14ac:dyDescent="0.25">
      <c r="A10" s="8" t="s">
        <v>456</v>
      </c>
      <c r="C10" s="43">
        <f>SUMIFS(Monthly!$E$35:$BL$35,Monthly!$E$6:$BL$6,C$4)</f>
        <v>69.399999999999991</v>
      </c>
      <c r="D10" s="43">
        <f>SUMIFS(Monthly!$E$35:$BL$35,Monthly!$E$6:$BL$6,D$4)</f>
        <v>157.30000000000001</v>
      </c>
      <c r="E10" s="43">
        <f>SUMIFS(Monthly!$E$35:$BL$35,Monthly!$E$6:$BL$6,E$4)</f>
        <v>292.3</v>
      </c>
      <c r="F10" s="43">
        <f>SUMIFS(Monthly!$E$35:$BL$35,Monthly!$E$6:$BL$6,F$4)</f>
        <v>468.29999999999995</v>
      </c>
      <c r="G10" s="43">
        <f>SUMIFS(Monthly!$E$35:$BL$35,Monthly!$E$6:$BL$6,G$4)</f>
        <v>631.29999999999984</v>
      </c>
      <c r="H10" s="43">
        <f>SUM(C10:G10)</f>
        <v>1618.6</v>
      </c>
    </row>
    <row r="11" spans="1:8" x14ac:dyDescent="0.25">
      <c r="A11" s="8" t="s">
        <v>476</v>
      </c>
      <c r="C11" s="43">
        <f>SUMIFS(Monthly!$E$41:$BL$41,Monthly!$E$6:$BL$6,C$4)</f>
        <v>4.3467029988785715</v>
      </c>
      <c r="D11" s="43">
        <f>SUMIFS(Monthly!$E$41:$BL$41,Monthly!$E$6:$BL$6,D$4)</f>
        <v>16.21986606395469</v>
      </c>
      <c r="E11" s="43">
        <f>SUMIFS(Monthly!$E$41:$BL$41,Monthly!$E$6:$BL$6,E$4)</f>
        <v>38.48466352637093</v>
      </c>
      <c r="F11" s="43">
        <f>SUMIFS(Monthly!$E$41:$BL$41,Monthly!$E$6:$BL$6,F$4)</f>
        <v>76.457019553251172</v>
      </c>
      <c r="G11" s="43">
        <f>SUMIFS(Monthly!$E$41:$BL$41,Monthly!$E$6:$BL$6,G$4)</f>
        <v>130.0147087558509</v>
      </c>
      <c r="H11" s="43">
        <f>SUM(C11:G11)</f>
        <v>265.52296089830628</v>
      </c>
    </row>
    <row r="12" spans="1:8" x14ac:dyDescent="0.25">
      <c r="A12" s="44" t="s">
        <v>551</v>
      </c>
      <c r="C12" s="46">
        <f>INDEX(Monthly!$E$42:$BL$42,(C$4-start_year+1)*12)</f>
        <v>6722.5266840047016</v>
      </c>
      <c r="D12" s="46">
        <f>INDEX(Monthly!$E$42:$BL$42,(D$4-start_year+1)*12)</f>
        <v>19506.29166131264</v>
      </c>
      <c r="E12" s="46">
        <f>INDEX(Monthly!$E$42:$BL$42,(E$4-start_year+1)*12)</f>
        <v>42936.807005032504</v>
      </c>
      <c r="F12" s="46">
        <f>INDEX(Monthly!$E$42:$BL$42,(F$4-start_year+1)*12)</f>
        <v>79889.490929876076</v>
      </c>
      <c r="G12" s="46">
        <f>INDEX(Monthly!$E$42:$BL$42,(G$4-start_year+1)*12)</f>
        <v>128618.2589176152</v>
      </c>
    </row>
    <row r="13" spans="1:8" x14ac:dyDescent="0.25">
      <c r="A13" s="8" t="s">
        <v>481</v>
      </c>
      <c r="C13" s="43">
        <f>SUMIFS(Monthly!$E$45:$BL$45,Monthly!$E$6:$BL$6,C$4)</f>
        <v>27877.973902605096</v>
      </c>
      <c r="D13" s="43">
        <f>SUMIFS(Monthly!$E$45:$BL$45,Monthly!$E$6:$BL$6,D$4)</f>
        <v>109254.10767369367</v>
      </c>
      <c r="E13" s="43">
        <f>SUMIFS(Monthly!$E$45:$BL$45,Monthly!$E$6:$BL$6,E$4)</f>
        <v>273238.41638513096</v>
      </c>
      <c r="F13" s="43">
        <f>SUMIFS(Monthly!$E$45:$BL$45,Monthly!$E$6:$BL$6,F$4)</f>
        <v>570563.21503128589</v>
      </c>
      <c r="G13" s="43">
        <f>SUMIFS(Monthly!$E$45:$BL$45,Monthly!$E$6:$BL$6,G$4)</f>
        <v>1020358.3473643156</v>
      </c>
      <c r="H13" s="43">
        <f>SUM(C13:G13)</f>
        <v>2001292.0603570314</v>
      </c>
    </row>
    <row r="14" spans="1:8" x14ac:dyDescent="0.25">
      <c r="A14" s="19" t="s">
        <v>552</v>
      </c>
      <c r="B14" s="20"/>
      <c r="C14" s="20"/>
      <c r="D14" s="20"/>
      <c r="E14" s="20"/>
      <c r="F14" s="20"/>
      <c r="G14" s="20"/>
      <c r="H14" s="20"/>
    </row>
    <row r="15" spans="1:8" x14ac:dyDescent="0.25">
      <c r="A15" s="8" t="s">
        <v>482</v>
      </c>
      <c r="C15" s="50">
        <f>SUMIFS(Monthly!$E$46:$BL$46,Monthly!$E$6:$BL$6,C$4)</f>
        <v>459527.0423506333</v>
      </c>
      <c r="D15" s="50">
        <f>SUMIFS(Monthly!$E$46:$BL$46,Monthly!$E$6:$BL$6,D$4)</f>
        <v>1803559.8727085937</v>
      </c>
      <c r="E15" s="50">
        <f>SUMIFS(Monthly!$E$46:$BL$46,Monthly!$E$6:$BL$6,E$4)</f>
        <v>4523489.8647269029</v>
      </c>
      <c r="F15" s="50">
        <f>SUMIFS(Monthly!$E$46:$BL$46,Monthly!$E$6:$BL$6,F$4)</f>
        <v>9484818.0341815613</v>
      </c>
      <c r="G15" s="50">
        <f>SUMIFS(Monthly!$E$46:$BL$46,Monthly!$E$6:$BL$6,G$4)</f>
        <v>17052499.241879974</v>
      </c>
      <c r="H15" s="50">
        <f>SUM(C15:G15)</f>
        <v>33323894.055847667</v>
      </c>
    </row>
    <row r="16" spans="1:8" x14ac:dyDescent="0.25">
      <c r="A16" s="8" t="s">
        <v>483</v>
      </c>
      <c r="C16" s="50">
        <f>SUMIFS(Monthly!$E$47:$BL$47,Monthly!$E$6:$BL$6,C$4)</f>
        <v>223023.79122084077</v>
      </c>
      <c r="D16" s="50">
        <f>SUMIFS(Monthly!$E$47:$BL$47,Monthly!$E$6:$BL$6,D$4)</f>
        <v>900253.84723123594</v>
      </c>
      <c r="E16" s="50">
        <f>SUMIFS(Monthly!$E$47:$BL$47,Monthly!$E$6:$BL$6,E$4)</f>
        <v>2319029.0875438834</v>
      </c>
      <c r="F16" s="50">
        <f>SUMIFS(Monthly!$E$47:$BL$47,Monthly!$E$6:$BL$6,F$4)</f>
        <v>4987758.6421719352</v>
      </c>
      <c r="G16" s="50">
        <f>SUMIFS(Monthly!$E$47:$BL$47,Monthly!$E$6:$BL$6,G$4)</f>
        <v>9187378.4745246191</v>
      </c>
      <c r="H16" s="50">
        <f>SUM(C16:G16)</f>
        <v>17617443.842692517</v>
      </c>
    </row>
    <row r="17" spans="1:8" x14ac:dyDescent="0.25">
      <c r="A17" s="8" t="s">
        <v>484</v>
      </c>
      <c r="C17" s="50">
        <f>SUMIFS(Monthly!$E$48:$BL$48,Monthly!$E$6:$BL$6,C$4)</f>
        <v>57440.880293829177</v>
      </c>
      <c r="D17" s="50">
        <f>SUMIFS(Monthly!$E$48:$BL$48,Monthly!$E$6:$BL$6,D$4)</f>
        <v>205935.32200398605</v>
      </c>
      <c r="E17" s="50">
        <f>SUMIFS(Monthly!$E$48:$BL$48,Monthly!$E$6:$BL$6,E$4)</f>
        <v>470499.8241325597</v>
      </c>
      <c r="F17" s="50">
        <f>SUMIFS(Monthly!$E$48:$BL$48,Monthly!$E$6:$BL$6,F$4)</f>
        <v>895896.67384838592</v>
      </c>
      <c r="G17" s="50">
        <f>SUMIFS(Monthly!$E$48:$BL$48,Monthly!$E$6:$BL$6,G$4)</f>
        <v>1457654.7819490221</v>
      </c>
      <c r="H17" s="50">
        <f>SUM(C17:G17)</f>
        <v>3087427.4822277827</v>
      </c>
    </row>
    <row r="18" spans="1:8" x14ac:dyDescent="0.25">
      <c r="A18" s="44" t="s">
        <v>485</v>
      </c>
      <c r="C18" s="51">
        <f>SUMIFS(Monthly!$E$49:$BL$49,Monthly!$E$6:$BL$6,C$4)</f>
        <v>739991.7138653032</v>
      </c>
      <c r="D18" s="51">
        <f>SUMIFS(Monthly!$E$49:$BL$49,Monthly!$E$6:$BL$6,D$4)</f>
        <v>2909749.0419438155</v>
      </c>
      <c r="E18" s="51">
        <f>SUMIFS(Monthly!$E$49:$BL$49,Monthly!$E$6:$BL$6,E$4)</f>
        <v>7313018.7764033461</v>
      </c>
      <c r="F18" s="51">
        <f>SUMIFS(Monthly!$E$49:$BL$49,Monthly!$E$6:$BL$6,F$4)</f>
        <v>15368473.350201881</v>
      </c>
      <c r="G18" s="51">
        <f>SUMIFS(Monthly!$E$49:$BL$49,Monthly!$E$6:$BL$6,G$4)</f>
        <v>27697532.498353619</v>
      </c>
      <c r="H18" s="52">
        <f>SUM(C18:G18)</f>
        <v>54028765.380767971</v>
      </c>
    </row>
    <row r="19" spans="1:8" x14ac:dyDescent="0.25">
      <c r="A19" s="8" t="s">
        <v>553</v>
      </c>
      <c r="D19" s="56">
        <f>IF(C18=0,0,D18/C18-1)</f>
        <v>2.9321373299505105</v>
      </c>
      <c r="E19" s="56">
        <f>IF(D18=0,0,E18/D18-1)</f>
        <v>1.5132816167259531</v>
      </c>
      <c r="F19" s="56">
        <f>IF(E18=0,0,F18/E18-1)</f>
        <v>1.1015224793064635</v>
      </c>
      <c r="G19" s="56">
        <f>IF(F18=0,0,G18/F18-1)</f>
        <v>0.80223057080616167</v>
      </c>
    </row>
    <row r="20" spans="1:8" x14ac:dyDescent="0.25">
      <c r="A20" s="8" t="s">
        <v>554</v>
      </c>
      <c r="C20" s="56">
        <f t="shared" ref="C20:H20" si="0">C15/C18</f>
        <v>0.62098944317946592</v>
      </c>
      <c r="D20" s="56">
        <f t="shared" si="0"/>
        <v>0.61983347935179722</v>
      </c>
      <c r="E20" s="56">
        <f t="shared" si="0"/>
        <v>0.61855302208749752</v>
      </c>
      <c r="F20" s="56">
        <f t="shared" si="0"/>
        <v>0.61716071714156107</v>
      </c>
      <c r="G20" s="56">
        <f t="shared" si="0"/>
        <v>0.61566853447662162</v>
      </c>
      <c r="H20" s="56">
        <f t="shared" si="0"/>
        <v>0.61678059494784621</v>
      </c>
    </row>
    <row r="21" spans="1:8" x14ac:dyDescent="0.25">
      <c r="A21" s="8" t="s">
        <v>555</v>
      </c>
      <c r="C21" s="56">
        <f t="shared" ref="C21:H21" si="1">C16/C18</f>
        <v>0.30138687642310086</v>
      </c>
      <c r="D21" s="56">
        <f t="shared" si="1"/>
        <v>0.30939226519337021</v>
      </c>
      <c r="E21" s="56">
        <f t="shared" si="1"/>
        <v>0.3171096859516635</v>
      </c>
      <c r="F21" s="56">
        <f t="shared" si="1"/>
        <v>0.32454483464399642</v>
      </c>
      <c r="G21" s="56">
        <f t="shared" si="1"/>
        <v>0.33170386116780365</v>
      </c>
      <c r="H21" s="56">
        <f t="shared" si="1"/>
        <v>0.32607526228914357</v>
      </c>
    </row>
    <row r="22" spans="1:8" x14ac:dyDescent="0.25">
      <c r="A22" s="8" t="s">
        <v>556</v>
      </c>
      <c r="C22" s="56">
        <f t="shared" ref="C22:H22" si="2">C17/C18</f>
        <v>7.7623680397433253E-2</v>
      </c>
      <c r="D22" s="56">
        <f t="shared" si="2"/>
        <v>7.077425545483261E-2</v>
      </c>
      <c r="E22" s="56">
        <f t="shared" si="2"/>
        <v>6.433729196083901E-2</v>
      </c>
      <c r="F22" s="56">
        <f t="shared" si="2"/>
        <v>5.8294448214442678E-2</v>
      </c>
      <c r="G22" s="56">
        <f t="shared" si="2"/>
        <v>5.262760435557453E-2</v>
      </c>
      <c r="H22" s="56">
        <f t="shared" si="2"/>
        <v>5.7144142763010101E-2</v>
      </c>
    </row>
    <row r="23" spans="1:8" x14ac:dyDescent="0.25">
      <c r="A23" s="19" t="s">
        <v>241</v>
      </c>
      <c r="B23" s="20"/>
      <c r="C23" s="20"/>
      <c r="D23" s="20"/>
      <c r="E23" s="20"/>
      <c r="F23" s="20"/>
      <c r="G23" s="20"/>
      <c r="H23" s="20"/>
    </row>
    <row r="24" spans="1:8" x14ac:dyDescent="0.25">
      <c r="A24" s="8" t="s">
        <v>489</v>
      </c>
      <c r="C24" s="50">
        <f>SUMIFS(Monthly!$E$52:$BL$52,Monthly!$E$6:$BL$6,C$4)</f>
        <v>42123.312215474725</v>
      </c>
      <c r="D24" s="50">
        <f>SUMIFS(Monthly!$E$52:$BL$52,Monthly!$E$6:$BL$6,D$4)</f>
        <v>158967.61698553312</v>
      </c>
      <c r="E24" s="50">
        <f>SUMIFS(Monthly!$E$52:$BL$52,Monthly!$E$6:$BL$6,E$4)</f>
        <v>383370.22707097454</v>
      </c>
      <c r="F24" s="50">
        <f>SUMIFS(Monthly!$E$52:$BL$52,Monthly!$E$6:$BL$6,F$4)</f>
        <v>772930.463712333</v>
      </c>
      <c r="G24" s="50">
        <f>SUMIFS(Monthly!$E$52:$BL$52,Monthly!$E$6:$BL$6,G$4)</f>
        <v>1336183.5501199372</v>
      </c>
      <c r="H24" s="50">
        <f t="shared" ref="H24:H30" si="3">SUM(C24:G24)</f>
        <v>2693575.1701042522</v>
      </c>
    </row>
    <row r="25" spans="1:8" x14ac:dyDescent="0.25">
      <c r="A25" s="8" t="s">
        <v>557</v>
      </c>
      <c r="C25" s="50">
        <f>SUMIFS(Monthly!$E$53:$BL$53,Monthly!$E$6:$BL$6,C$4)</f>
        <v>33453.568683126112</v>
      </c>
      <c r="D25" s="50">
        <f>SUMIFS(Monthly!$E$53:$BL$53,Monthly!$E$6:$BL$6,D$4)</f>
        <v>131104.92920843238</v>
      </c>
      <c r="E25" s="50">
        <f>SUMIFS(Monthly!$E$53:$BL$53,Monthly!$E$6:$BL$6,E$4)</f>
        <v>327886.09966215718</v>
      </c>
      <c r="F25" s="50">
        <f>SUMIFS(Monthly!$E$53:$BL$53,Monthly!$E$6:$BL$6,F$4)</f>
        <v>684675.85803754302</v>
      </c>
      <c r="G25" s="50">
        <f>SUMIFS(Monthly!$E$53:$BL$53,Monthly!$E$6:$BL$6,G$4)</f>
        <v>1224430.0168371787</v>
      </c>
      <c r="H25" s="50">
        <f t="shared" si="3"/>
        <v>2401550.4724284373</v>
      </c>
    </row>
    <row r="26" spans="1:8" x14ac:dyDescent="0.25">
      <c r="A26" s="8" t="s">
        <v>491</v>
      </c>
      <c r="C26" s="50">
        <f>SUMIFS(Monthly!$E$54:$BL$54,Monthly!$E$6:$BL$6,C$4)</f>
        <v>11099.875707979549</v>
      </c>
      <c r="D26" s="50">
        <f>SUMIFS(Monthly!$E$54:$BL$54,Monthly!$E$6:$BL$6,D$4)</f>
        <v>43646.235629157236</v>
      </c>
      <c r="E26" s="50">
        <f>SUMIFS(Monthly!$E$54:$BL$54,Monthly!$E$6:$BL$6,E$4)</f>
        <v>109695.28164605019</v>
      </c>
      <c r="F26" s="50">
        <f>SUMIFS(Monthly!$E$54:$BL$54,Monthly!$E$6:$BL$6,F$4)</f>
        <v>230527.10025302821</v>
      </c>
      <c r="G26" s="50">
        <f>SUMIFS(Monthly!$E$54:$BL$54,Monthly!$E$6:$BL$6,G$4)</f>
        <v>415462.98747530417</v>
      </c>
      <c r="H26" s="50">
        <f t="shared" si="3"/>
        <v>810431.48071151937</v>
      </c>
    </row>
    <row r="27" spans="1:8" x14ac:dyDescent="0.25">
      <c r="A27" s="8" t="s">
        <v>492</v>
      </c>
      <c r="C27" s="50">
        <f>SUMIFS(Monthly!$E$55:$BL$55,Monthly!$E$6:$BL$6,C$4)</f>
        <v>7824.0653979814288</v>
      </c>
      <c r="D27" s="50">
        <f>SUMIFS(Monthly!$E$55:$BL$55,Monthly!$E$6:$BL$6,D$4)</f>
        <v>29195.758915118444</v>
      </c>
      <c r="E27" s="50">
        <f>SUMIFS(Monthly!$E$55:$BL$55,Monthly!$E$6:$BL$6,E$4)</f>
        <v>69272.394347467663</v>
      </c>
      <c r="F27" s="50">
        <f>SUMIFS(Monthly!$E$55:$BL$55,Monthly!$E$6:$BL$6,F$4)</f>
        <v>137622.63519585211</v>
      </c>
      <c r="G27" s="50">
        <f>SUMIFS(Monthly!$E$55:$BL$55,Monthly!$E$6:$BL$6,G$4)</f>
        <v>234026.47576053167</v>
      </c>
      <c r="H27" s="50">
        <f t="shared" si="3"/>
        <v>477941.32961695129</v>
      </c>
    </row>
    <row r="28" spans="1:8" x14ac:dyDescent="0.25">
      <c r="A28" s="8" t="s">
        <v>493</v>
      </c>
      <c r="C28" s="50">
        <f>SUMIFS(Monthly!$E$56:$BL$56,Monthly!$E$6:$BL$6,C$4)</f>
        <v>168000</v>
      </c>
      <c r="D28" s="50">
        <f>SUMIFS(Monthly!$E$56:$BL$56,Monthly!$E$6:$BL$6,D$4)</f>
        <v>387280</v>
      </c>
      <c r="E28" s="50">
        <f>SUMIFS(Monthly!$E$56:$BL$56,Monthly!$E$6:$BL$6,E$4)</f>
        <v>695950.4</v>
      </c>
      <c r="F28" s="50">
        <f>SUMIFS(Monthly!$E$56:$BL$56,Monthly!$E$6:$BL$6,F$4)</f>
        <v>1258821.504</v>
      </c>
      <c r="G28" s="50">
        <f>SUMIFS(Monthly!$E$56:$BL$56,Monthly!$E$6:$BL$6,G$4)</f>
        <v>1980895.5055999991</v>
      </c>
      <c r="H28" s="50">
        <f t="shared" si="3"/>
        <v>4490947.409599999</v>
      </c>
    </row>
    <row r="29" spans="1:8" x14ac:dyDescent="0.25">
      <c r="A29" s="44" t="s">
        <v>494</v>
      </c>
      <c r="C29" s="51">
        <f>SUMIFS(Monthly!$E$57:$BL$57,Monthly!$E$6:$BL$6,C$4)</f>
        <v>262500.82200456184</v>
      </c>
      <c r="D29" s="51">
        <f>SUMIFS(Monthly!$E$57:$BL$57,Monthly!$E$6:$BL$6,D$4)</f>
        <v>750194.54073824116</v>
      </c>
      <c r="E29" s="51">
        <f>SUMIFS(Monthly!$E$57:$BL$57,Monthly!$E$6:$BL$6,E$4)</f>
        <v>1586174.4027266495</v>
      </c>
      <c r="F29" s="51">
        <f>SUMIFS(Monthly!$E$57:$BL$57,Monthly!$E$6:$BL$6,F$4)</f>
        <v>3084577.5611987561</v>
      </c>
      <c r="G29" s="51">
        <f>SUMIFS(Monthly!$E$57:$BL$57,Monthly!$E$6:$BL$6,G$4)</f>
        <v>5190998.5357929515</v>
      </c>
      <c r="H29" s="52">
        <f t="shared" si="3"/>
        <v>10874445.862461161</v>
      </c>
    </row>
    <row r="30" spans="1:8" x14ac:dyDescent="0.25">
      <c r="A30" s="44" t="s">
        <v>495</v>
      </c>
      <c r="C30" s="51">
        <f>SUMIFS(Monthly!$E$58:$BL$58,Monthly!$E$6:$BL$6,C$4)</f>
        <v>477490.89186074142</v>
      </c>
      <c r="D30" s="51">
        <f>SUMIFS(Monthly!$E$58:$BL$58,Monthly!$E$6:$BL$6,D$4)</f>
        <v>2159554.5012055747</v>
      </c>
      <c r="E30" s="51">
        <f>SUMIFS(Monthly!$E$58:$BL$58,Monthly!$E$6:$BL$6,E$4)</f>
        <v>5726844.3736766977</v>
      </c>
      <c r="F30" s="51">
        <f>SUMIFS(Monthly!$E$58:$BL$58,Monthly!$E$6:$BL$6,F$4)</f>
        <v>12283895.789003124</v>
      </c>
      <c r="G30" s="51">
        <f>SUMIFS(Monthly!$E$58:$BL$58,Monthly!$E$6:$BL$6,G$4)</f>
        <v>22506533.962560661</v>
      </c>
      <c r="H30" s="52">
        <f t="shared" si="3"/>
        <v>43154319.518306799</v>
      </c>
    </row>
    <row r="31" spans="1:8" x14ac:dyDescent="0.25">
      <c r="A31" s="8" t="s">
        <v>496</v>
      </c>
      <c r="C31" s="41">
        <f t="shared" ref="C31:H31" si="4">C30/C18</f>
        <v>0.64526518731756577</v>
      </c>
      <c r="D31" s="41">
        <f t="shared" si="4"/>
        <v>0.74217895429322511</v>
      </c>
      <c r="E31" s="41">
        <f t="shared" si="4"/>
        <v>0.78310264868391966</v>
      </c>
      <c r="F31" s="41">
        <f t="shared" si="4"/>
        <v>0.79929186908091709</v>
      </c>
      <c r="G31" s="41">
        <f t="shared" si="4"/>
        <v>0.81258263579611223</v>
      </c>
      <c r="H31" s="41">
        <f t="shared" si="4"/>
        <v>0.79872858863563756</v>
      </c>
    </row>
    <row r="32" spans="1:8" x14ac:dyDescent="0.25">
      <c r="A32" s="19" t="s">
        <v>497</v>
      </c>
      <c r="B32" s="20"/>
      <c r="C32" s="20"/>
      <c r="D32" s="20"/>
      <c r="E32" s="20"/>
      <c r="F32" s="20"/>
      <c r="G32" s="20"/>
      <c r="H32" s="20"/>
    </row>
    <row r="33" spans="1:8" x14ac:dyDescent="0.25">
      <c r="A33" s="8" t="s">
        <v>502</v>
      </c>
      <c r="C33" s="50">
        <f>SUMIFS(Monthly!$E$64:$BL$64,Monthly!$E$6:$BL$6,C$4)</f>
        <v>592300</v>
      </c>
      <c r="D33" s="50">
        <f>SUMIFS(Monthly!$E$64:$BL$64,Monthly!$E$6:$BL$6,D$4)</f>
        <v>1776220</v>
      </c>
      <c r="E33" s="50">
        <f>SUMIFS(Monthly!$E$64:$BL$64,Monthly!$E$6:$BL$6,E$4)</f>
        <v>3289213.6</v>
      </c>
      <c r="F33" s="50">
        <f>SUMIFS(Monthly!$E$64:$BL$64,Monthly!$E$6:$BL$6,F$4)</f>
        <v>5436789.1839999994</v>
      </c>
      <c r="G33" s="50">
        <f>SUMIFS(Monthly!$E$64:$BL$64,Monthly!$E$6:$BL$6,G$4)</f>
        <v>7605476.8257999998</v>
      </c>
      <c r="H33" s="50">
        <f>SUM(C33:G33)</f>
        <v>18699999.609799996</v>
      </c>
    </row>
    <row r="34" spans="1:8" x14ac:dyDescent="0.25">
      <c r="A34" s="8" t="s">
        <v>504</v>
      </c>
      <c r="C34" s="50">
        <f>SUMIFS(Monthly!$E$66:$BL$66,Monthly!$E$6:$BL$6,C$4)</f>
        <v>1022000</v>
      </c>
      <c r="D34" s="50">
        <f>SUMIFS(Monthly!$E$66:$BL$66,Monthly!$E$6:$BL$6,D$4)</f>
        <v>1586200</v>
      </c>
      <c r="E34" s="50">
        <f>SUMIFS(Monthly!$E$66:$BL$66,Monthly!$E$6:$BL$6,E$4)</f>
        <v>2554647.2000000002</v>
      </c>
      <c r="F34" s="50">
        <f>SUMIFS(Monthly!$E$66:$BL$66,Monthly!$E$6:$BL$6,F$4)</f>
        <v>4038718.9920000001</v>
      </c>
      <c r="G34" s="50">
        <f>SUMIFS(Monthly!$E$66:$BL$66,Monthly!$E$6:$BL$6,G$4)</f>
        <v>5546507.4156799996</v>
      </c>
      <c r="H34" s="50">
        <f>SUM(C34:G34)</f>
        <v>14748073.60768</v>
      </c>
    </row>
    <row r="35" spans="1:8" x14ac:dyDescent="0.25">
      <c r="A35" s="8" t="s">
        <v>509</v>
      </c>
      <c r="C35" s="50">
        <f>SUMIFS(Monthly!$E$71:$BL$71,Monthly!$E$6:$BL$6,C$4)</f>
        <v>469000</v>
      </c>
      <c r="D35" s="50">
        <f>SUMIFS(Monthly!$E$71:$BL$71,Monthly!$E$6:$BL$6,D$4)</f>
        <v>819680</v>
      </c>
      <c r="E35" s="50">
        <f>SUMIFS(Monthly!$E$71:$BL$71,Monthly!$E$6:$BL$6,E$4)</f>
        <v>1318370.8</v>
      </c>
      <c r="F35" s="50">
        <f>SUMIFS(Monthly!$E$71:$BL$71,Monthly!$E$6:$BL$6,F$4)</f>
        <v>2121196.0560000003</v>
      </c>
      <c r="G35" s="50">
        <f>SUMIFS(Monthly!$E$71:$BL$71,Monthly!$E$6:$BL$6,G$4)</f>
        <v>3094467.0122399991</v>
      </c>
      <c r="H35" s="50">
        <f>SUM(C35:G35)</f>
        <v>7822713.8682399997</v>
      </c>
    </row>
    <row r="36" spans="1:8" x14ac:dyDescent="0.25">
      <c r="A36" s="44" t="s">
        <v>510</v>
      </c>
      <c r="C36" s="51">
        <f>SUMIFS(Monthly!$E$72:$BL$72,Monthly!$E$6:$BL$6,C$4)</f>
        <v>2083300</v>
      </c>
      <c r="D36" s="51">
        <f>SUMIFS(Monthly!$E$72:$BL$72,Monthly!$E$6:$BL$6,D$4)</f>
        <v>4182100</v>
      </c>
      <c r="E36" s="51">
        <f>SUMIFS(Monthly!$E$72:$BL$72,Monthly!$E$6:$BL$6,E$4)</f>
        <v>7162231.5999999987</v>
      </c>
      <c r="F36" s="51">
        <f>SUMIFS(Monthly!$E$72:$BL$72,Monthly!$E$6:$BL$6,F$4)</f>
        <v>11596704.232000001</v>
      </c>
      <c r="G36" s="51">
        <f>SUMIFS(Monthly!$E$72:$BL$72,Monthly!$E$6:$BL$6,G$4)</f>
        <v>16246451.253719997</v>
      </c>
      <c r="H36" s="52">
        <f>SUM(C36:G36)</f>
        <v>41270787.085719995</v>
      </c>
    </row>
    <row r="37" spans="1:8" x14ac:dyDescent="0.25">
      <c r="A37" s="19" t="s">
        <v>511</v>
      </c>
      <c r="B37" s="20"/>
      <c r="C37" s="20"/>
      <c r="D37" s="20"/>
      <c r="E37" s="20"/>
      <c r="F37" s="20"/>
      <c r="G37" s="20"/>
      <c r="H37" s="20"/>
    </row>
    <row r="38" spans="1:8" x14ac:dyDescent="0.25">
      <c r="A38" s="44" t="s">
        <v>512</v>
      </c>
      <c r="C38" s="51">
        <f>SUMIFS(Monthly!$E$74:$BL$74,Monthly!$E$6:$BL$6,C$4)</f>
        <v>-1605809.1081392586</v>
      </c>
      <c r="D38" s="51">
        <f>SUMIFS(Monthly!$E$74:$BL$74,Monthly!$E$6:$BL$6,D$4)</f>
        <v>-2022545.498794426</v>
      </c>
      <c r="E38" s="51">
        <f>SUMIFS(Monthly!$E$74:$BL$74,Monthly!$E$6:$BL$6,E$4)</f>
        <v>-1435387.2263233028</v>
      </c>
      <c r="F38" s="51">
        <f>SUMIFS(Monthly!$E$74:$BL$74,Monthly!$E$6:$BL$6,F$4)</f>
        <v>687191.55700312532</v>
      </c>
      <c r="G38" s="51">
        <f>SUMIFS(Monthly!$E$74:$BL$74,Monthly!$E$6:$BL$6,G$4)</f>
        <v>6260082.7088406645</v>
      </c>
      <c r="H38" s="52">
        <f>SUM(C38:G38)</f>
        <v>1883532.4325868022</v>
      </c>
    </row>
    <row r="39" spans="1:8" x14ac:dyDescent="0.25">
      <c r="A39" s="8" t="s">
        <v>558</v>
      </c>
      <c r="C39" s="56">
        <f t="shared" ref="C39:H39" si="5">C38/C18</f>
        <v>-2.1700366072363284</v>
      </c>
      <c r="D39" s="56">
        <f t="shared" si="5"/>
        <v>-0.69509276217281402</v>
      </c>
      <c r="E39" s="56">
        <f t="shared" si="5"/>
        <v>-0.19627834553834525</v>
      </c>
      <c r="F39" s="56">
        <f t="shared" si="5"/>
        <v>4.4714366960469654E-2</v>
      </c>
      <c r="G39" s="56">
        <f t="shared" si="5"/>
        <v>0.22601589904128727</v>
      </c>
      <c r="H39" s="56">
        <f t="shared" si="5"/>
        <v>3.4861659697618459E-2</v>
      </c>
    </row>
    <row r="40" spans="1:8" x14ac:dyDescent="0.25">
      <c r="A40" s="8" t="s">
        <v>514</v>
      </c>
      <c r="C40" s="50">
        <f>SUMIFS(Monthly!$E$76:$BL$76,Monthly!$E$6:$BL$6,C$4)</f>
        <v>4027.7777777777778</v>
      </c>
      <c r="D40" s="50">
        <f>SUMIFS(Monthly!$E$76:$BL$76,Monthly!$E$6:$BL$6,D$4)</f>
        <v>14027.777777777779</v>
      </c>
      <c r="E40" s="50">
        <f>SUMIFS(Monthly!$E$76:$BL$76,Monthly!$E$6:$BL$6,E$4)</f>
        <v>27569.444444444442</v>
      </c>
      <c r="F40" s="50">
        <f>SUMIFS(Monthly!$E$76:$BL$76,Monthly!$E$6:$BL$6,F$4)</f>
        <v>44722.222222222226</v>
      </c>
      <c r="G40" s="50">
        <f>SUMIFS(Monthly!$E$76:$BL$76,Monthly!$E$6:$BL$6,G$4)</f>
        <v>56944.444444444438</v>
      </c>
      <c r="H40" s="50">
        <f t="shared" ref="H40:H45" si="6">SUM(C40:G40)</f>
        <v>147291.66666666666</v>
      </c>
    </row>
    <row r="41" spans="1:8" x14ac:dyDescent="0.25">
      <c r="A41" s="8" t="s">
        <v>516</v>
      </c>
      <c r="C41" s="50">
        <f>SUMIFS(Monthly!$E$77:$BL$77,Monthly!$E$6:$BL$6,C$4)</f>
        <v>-1609836.8859170361</v>
      </c>
      <c r="D41" s="50">
        <f>SUMIFS(Monthly!$E$77:$BL$77,Monthly!$E$6:$BL$6,D$4)</f>
        <v>-2036573.2765722033</v>
      </c>
      <c r="E41" s="50">
        <f>SUMIFS(Monthly!$E$77:$BL$77,Monthly!$E$6:$BL$6,E$4)</f>
        <v>-1462956.6707677473</v>
      </c>
      <c r="F41" s="50">
        <f>SUMIFS(Monthly!$E$77:$BL$77,Monthly!$E$6:$BL$6,F$4)</f>
        <v>642469.33478090307</v>
      </c>
      <c r="G41" s="50">
        <f>SUMIFS(Monthly!$E$77:$BL$77,Monthly!$E$6:$BL$6,G$4)</f>
        <v>6203138.2643962204</v>
      </c>
      <c r="H41" s="50">
        <f t="shared" si="6"/>
        <v>1736240.765920138</v>
      </c>
    </row>
    <row r="42" spans="1:8" x14ac:dyDescent="0.25">
      <c r="A42" s="8" t="s">
        <v>559</v>
      </c>
      <c r="C42" s="50">
        <f>SUMIFS(Monthly!$E$78:$BL$78,Monthly!$E$6:$BL$6,C$4)</f>
        <v>0</v>
      </c>
      <c r="D42" s="50">
        <f>SUMIFS(Monthly!$E$78:$BL$78,Monthly!$E$6:$BL$6,D$4)</f>
        <v>0</v>
      </c>
      <c r="E42" s="50">
        <f>SUMIFS(Monthly!$E$78:$BL$78,Monthly!$E$6:$BL$6,E$4)</f>
        <v>0</v>
      </c>
      <c r="F42" s="50">
        <f>SUMIFS(Monthly!$E$78:$BL$78,Monthly!$E$6:$BL$6,F$4)</f>
        <v>0</v>
      </c>
      <c r="G42" s="50">
        <f>SUMIFS(Monthly!$E$78:$BL$78,Monthly!$E$6:$BL$6,G$4)</f>
        <v>0</v>
      </c>
      <c r="H42" s="50">
        <f t="shared" si="6"/>
        <v>0</v>
      </c>
    </row>
    <row r="43" spans="1:8" x14ac:dyDescent="0.25">
      <c r="A43" s="8" t="s">
        <v>518</v>
      </c>
      <c r="C43" s="50">
        <f>SUMIFS(Monthly!$E$79:$BL$79,Monthly!$E$6:$BL$6,C$4)</f>
        <v>-1609836.8859170361</v>
      </c>
      <c r="D43" s="50">
        <f>SUMIFS(Monthly!$E$79:$BL$79,Monthly!$E$6:$BL$6,D$4)</f>
        <v>-2036573.2765722033</v>
      </c>
      <c r="E43" s="50">
        <f>SUMIFS(Monthly!$E$79:$BL$79,Monthly!$E$6:$BL$6,E$4)</f>
        <v>-1462956.6707677473</v>
      </c>
      <c r="F43" s="50">
        <f>SUMIFS(Monthly!$E$79:$BL$79,Monthly!$E$6:$BL$6,F$4)</f>
        <v>642469.33478090307</v>
      </c>
      <c r="G43" s="50">
        <f>SUMIFS(Monthly!$E$79:$BL$79,Monthly!$E$6:$BL$6,G$4)</f>
        <v>6203138.2643962204</v>
      </c>
      <c r="H43" s="50">
        <f t="shared" si="6"/>
        <v>1736240.765920138</v>
      </c>
    </row>
    <row r="44" spans="1:8" x14ac:dyDescent="0.25">
      <c r="A44" s="8" t="s">
        <v>560</v>
      </c>
      <c r="C44" s="50">
        <f>SUMIFS(Monthly!$E$81:$BL$81,Monthly!$E$6:$BL$6,C$4)</f>
        <v>0</v>
      </c>
      <c r="D44" s="50">
        <f>SUMIFS(Monthly!$E$81:$BL$81,Monthly!$E$6:$BL$6,D$4)</f>
        <v>0</v>
      </c>
      <c r="E44" s="50">
        <f>SUMIFS(Monthly!$E$81:$BL$81,Monthly!$E$6:$BL$6,E$4)</f>
        <v>0</v>
      </c>
      <c r="F44" s="50">
        <f>SUMIFS(Monthly!$E$81:$BL$81,Monthly!$E$6:$BL$6,F$4)</f>
        <v>32123.46673904515</v>
      </c>
      <c r="G44" s="50">
        <f>SUMIFS(Monthly!$E$81:$BL$81,Monthly!$E$6:$BL$6,G$4)</f>
        <v>310156.91321981093</v>
      </c>
      <c r="H44" s="50">
        <f t="shared" si="6"/>
        <v>342280.37995885609</v>
      </c>
    </row>
    <row r="45" spans="1:8" x14ac:dyDescent="0.25">
      <c r="A45" s="44" t="s">
        <v>523</v>
      </c>
      <c r="C45" s="51">
        <f>SUMIFS(Monthly!$E$83:$BL$83,Monthly!$E$6:$BL$6,C$4)</f>
        <v>-1609836.8859170361</v>
      </c>
      <c r="D45" s="51">
        <f>SUMIFS(Monthly!$E$83:$BL$83,Monthly!$E$6:$BL$6,D$4)</f>
        <v>-2036573.2765722033</v>
      </c>
      <c r="E45" s="51">
        <f>SUMIFS(Monthly!$E$83:$BL$83,Monthly!$E$6:$BL$6,E$4)</f>
        <v>-1462956.6707677473</v>
      </c>
      <c r="F45" s="51">
        <f>SUMIFS(Monthly!$E$83:$BL$83,Monthly!$E$6:$BL$6,F$4)</f>
        <v>610345.86804185796</v>
      </c>
      <c r="G45" s="51">
        <f>SUMIFS(Monthly!$E$83:$BL$83,Monthly!$E$6:$BL$6,G$4)</f>
        <v>5892981.3511764091</v>
      </c>
      <c r="H45" s="52">
        <f t="shared" si="6"/>
        <v>1393960.3859612811</v>
      </c>
    </row>
    <row r="46" spans="1:8" x14ac:dyDescent="0.25">
      <c r="A46" s="19" t="s">
        <v>561</v>
      </c>
      <c r="B46" s="20"/>
      <c r="C46" s="20"/>
      <c r="D46" s="20"/>
      <c r="E46" s="20"/>
      <c r="F46" s="20"/>
      <c r="G46" s="20"/>
      <c r="H46" s="20"/>
    </row>
    <row r="47" spans="1:8" x14ac:dyDescent="0.25">
      <c r="A47" s="44" t="s">
        <v>562</v>
      </c>
      <c r="C47" s="51">
        <f>INDEX(Monthly!$E$50:$BL$50,(C$4-start_year+1)*12)</f>
        <v>1286739.8230700623</v>
      </c>
      <c r="D47" s="51">
        <f>INDEX(Monthly!$E$50:$BL$50,(D$4-start_year+1)*12)</f>
        <v>4083027.0992207872</v>
      </c>
      <c r="E47" s="51">
        <f>INDEX(Monthly!$E$50:$BL$50,(E$4-start_year+1)*12)</f>
        <v>9535741.9190119617</v>
      </c>
      <c r="F47" s="51">
        <f>INDEX(Monthly!$E$50:$BL$50,(F$4-start_year+1)*12)</f>
        <v>18847258.374551598</v>
      </c>
      <c r="G47" s="51">
        <f>INDEX(Monthly!$E$50:$BL$50,(G$4-start_year+1)*12)</f>
        <v>32173345.895246241</v>
      </c>
    </row>
    <row r="48" spans="1:8" x14ac:dyDescent="0.25">
      <c r="A48" s="44" t="s">
        <v>563</v>
      </c>
      <c r="C48" s="51">
        <f>INDEX(Monthly!$E$89:$BL$89,(C$4-start_year+1)*12)</f>
        <v>2112399.9351450414</v>
      </c>
      <c r="D48" s="51">
        <f>INDEX(Monthly!$E$89:$BL$89,(D$4-start_year+1)*12)</f>
        <v>9883441.3092244714</v>
      </c>
      <c r="E48" s="51">
        <f>INDEX(Monthly!$E$89:$BL$89,(E$4-start_year+1)*12)</f>
        <v>8052681.0594236236</v>
      </c>
      <c r="F48" s="51">
        <f>INDEX(Monthly!$E$89:$BL$89,(F$4-start_year+1)*12)</f>
        <v>8008858.6464980319</v>
      </c>
      <c r="G48" s="51">
        <f>INDEX(Monthly!$E$89:$BL$89,(G$4-start_year+1)*12)</f>
        <v>12940986.177740345</v>
      </c>
    </row>
    <row r="49" spans="1:8" x14ac:dyDescent="0.25">
      <c r="A49" s="8" t="s">
        <v>564</v>
      </c>
      <c r="C49" s="43">
        <f>INDEX(Monthly!$E$23:$BL$23,(C$4-start_year+1)*12)</f>
        <v>15</v>
      </c>
      <c r="D49" s="43">
        <f>INDEX(Monthly!$E$23:$BL$23,(D$4-start_year+1)*12)</f>
        <v>29</v>
      </c>
      <c r="E49" s="43">
        <f>INDEX(Monthly!$E$23:$BL$23,(E$4-start_year+1)*12)</f>
        <v>51</v>
      </c>
      <c r="F49" s="43">
        <f>INDEX(Monthly!$E$23:$BL$23,(F$4-start_year+1)*12)</f>
        <v>79</v>
      </c>
      <c r="G49" s="43">
        <f>INDEX(Monthly!$E$23:$BL$23,(G$4-start_year+1)*12)</f>
        <v>105</v>
      </c>
    </row>
    <row r="50" spans="1:8" x14ac:dyDescent="0.25">
      <c r="A50" s="8" t="s">
        <v>565</v>
      </c>
      <c r="C50" s="50">
        <f t="shared" ref="C50:H50" si="7">C33/C10</f>
        <v>8534.5821325648431</v>
      </c>
      <c r="D50" s="50">
        <f t="shared" si="7"/>
        <v>11291.926255562619</v>
      </c>
      <c r="E50" s="50">
        <f t="shared" si="7"/>
        <v>11252.868970236059</v>
      </c>
      <c r="F50" s="50">
        <f t="shared" si="7"/>
        <v>11609.628836216101</v>
      </c>
      <c r="G50" s="50">
        <f t="shared" si="7"/>
        <v>12047.325876445433</v>
      </c>
      <c r="H50" s="50">
        <f t="shared" si="7"/>
        <v>11553.19387730137</v>
      </c>
    </row>
    <row r="51" spans="1:8" x14ac:dyDescent="0.25">
      <c r="A51" s="8" t="s">
        <v>566</v>
      </c>
      <c r="C51" s="50">
        <f>SUMIFS(Monthly!$E$75:$BL$75,Monthly!$E$6:$BL$6,C$4)</f>
        <v>22500</v>
      </c>
      <c r="D51" s="50">
        <f>SUMIFS(Monthly!$E$75:$BL$75,Monthly!$E$6:$BL$6,D$4)</f>
        <v>35000</v>
      </c>
      <c r="E51" s="50">
        <f>SUMIFS(Monthly!$E$75:$BL$75,Monthly!$E$6:$BL$6,E$4)</f>
        <v>55000</v>
      </c>
      <c r="F51" s="50">
        <f>SUMIFS(Monthly!$E$75:$BL$75,Monthly!$E$6:$BL$6,F$4)</f>
        <v>70000</v>
      </c>
      <c r="G51" s="50">
        <f>SUMIFS(Monthly!$E$75:$BL$75,Monthly!$E$6:$BL$6,G$4)</f>
        <v>65000</v>
      </c>
      <c r="H51" s="50">
        <f>SUM(C51:G51)</f>
        <v>247500</v>
      </c>
    </row>
    <row r="53" spans="1:8" x14ac:dyDescent="0.25">
      <c r="A53" s="4" t="s">
        <v>55</v>
      </c>
    </row>
    <row r="54" spans="1:8" x14ac:dyDescent="0.25">
      <c r="A54" s="4" t="s">
        <v>567</v>
      </c>
    </row>
  </sheetData>
  <mergeCells count="1">
    <mergeCell ref="F1:H1"/>
  </mergeCell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E2A55"/>
  </sheetPr>
  <dimension ref="A1:BR47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0" customWidth="1"/>
    <col min="2" max="2" width="11" customWidth="1"/>
    <col min="3" max="3" width="30" customWidth="1"/>
    <col min="4" max="64" width="11.42578125" customWidth="1"/>
    <col min="65" max="65" width="3" customWidth="1"/>
    <col min="66" max="70" width="13" customWidth="1"/>
  </cols>
  <sheetData>
    <row r="1" spans="1:70" ht="19.5" x14ac:dyDescent="0.3">
      <c r="A1" s="17" t="s">
        <v>568</v>
      </c>
      <c r="G1" s="125" t="s">
        <v>1</v>
      </c>
      <c r="H1" s="122"/>
      <c r="I1" s="122"/>
    </row>
    <row r="2" spans="1:70" x14ac:dyDescent="0.25">
      <c r="A2" s="4" t="s">
        <v>569</v>
      </c>
    </row>
    <row r="3" spans="1:70" x14ac:dyDescent="0.25">
      <c r="D3" s="36" t="s">
        <v>433</v>
      </c>
      <c r="E3" s="4" t="s">
        <v>434</v>
      </c>
      <c r="BN3" s="36" t="s">
        <v>570</v>
      </c>
    </row>
    <row r="4" spans="1:70" x14ac:dyDescent="0.25">
      <c r="A4" s="7" t="s">
        <v>435</v>
      </c>
      <c r="B4" s="7" t="s">
        <v>63</v>
      </c>
      <c r="C4" s="7" t="s">
        <v>436</v>
      </c>
      <c r="D4" s="37">
        <f>Monthly!D4</f>
        <v>46357</v>
      </c>
      <c r="E4" s="37">
        <f>Monthly!E4</f>
        <v>46388</v>
      </c>
      <c r="F4" s="37">
        <f>Monthly!F4</f>
        <v>46419</v>
      </c>
      <c r="G4" s="37">
        <f>Monthly!G4</f>
        <v>46447</v>
      </c>
      <c r="H4" s="37">
        <f>Monthly!H4</f>
        <v>46478</v>
      </c>
      <c r="I4" s="37">
        <f>Monthly!I4</f>
        <v>46508</v>
      </c>
      <c r="J4" s="37">
        <f>Monthly!J4</f>
        <v>46539</v>
      </c>
      <c r="K4" s="37">
        <f>Monthly!K4</f>
        <v>46569</v>
      </c>
      <c r="L4" s="37">
        <f>Monthly!L4</f>
        <v>46600</v>
      </c>
      <c r="M4" s="37">
        <f>Monthly!M4</f>
        <v>46631</v>
      </c>
      <c r="N4" s="37">
        <f>Monthly!N4</f>
        <v>46661</v>
      </c>
      <c r="O4" s="37">
        <f>Monthly!O4</f>
        <v>46692</v>
      </c>
      <c r="P4" s="37">
        <f>Monthly!P4</f>
        <v>46722</v>
      </c>
      <c r="Q4" s="37">
        <f>Monthly!Q4</f>
        <v>46753</v>
      </c>
      <c r="R4" s="37">
        <f>Monthly!R4</f>
        <v>46784</v>
      </c>
      <c r="S4" s="37">
        <f>Monthly!S4</f>
        <v>46813</v>
      </c>
      <c r="T4" s="37">
        <f>Monthly!T4</f>
        <v>46844</v>
      </c>
      <c r="U4" s="37">
        <f>Monthly!U4</f>
        <v>46874</v>
      </c>
      <c r="V4" s="37">
        <f>Monthly!V4</f>
        <v>46905</v>
      </c>
      <c r="W4" s="37">
        <f>Monthly!W4</f>
        <v>46935</v>
      </c>
      <c r="X4" s="37">
        <f>Monthly!X4</f>
        <v>46966</v>
      </c>
      <c r="Y4" s="37">
        <f>Monthly!Y4</f>
        <v>46997</v>
      </c>
      <c r="Z4" s="37">
        <f>Monthly!Z4</f>
        <v>47027</v>
      </c>
      <c r="AA4" s="37">
        <f>Monthly!AA4</f>
        <v>47058</v>
      </c>
      <c r="AB4" s="37">
        <f>Monthly!AB4</f>
        <v>47088</v>
      </c>
      <c r="AC4" s="37">
        <f>Monthly!AC4</f>
        <v>47119</v>
      </c>
      <c r="AD4" s="37">
        <f>Monthly!AD4</f>
        <v>47150</v>
      </c>
      <c r="AE4" s="37">
        <f>Monthly!AE4</f>
        <v>47178</v>
      </c>
      <c r="AF4" s="37">
        <f>Monthly!AF4</f>
        <v>47209</v>
      </c>
      <c r="AG4" s="37">
        <f>Monthly!AG4</f>
        <v>47239</v>
      </c>
      <c r="AH4" s="37">
        <f>Monthly!AH4</f>
        <v>47270</v>
      </c>
      <c r="AI4" s="37">
        <f>Monthly!AI4</f>
        <v>47300</v>
      </c>
      <c r="AJ4" s="37">
        <f>Monthly!AJ4</f>
        <v>47331</v>
      </c>
      <c r="AK4" s="37">
        <f>Monthly!AK4</f>
        <v>47362</v>
      </c>
      <c r="AL4" s="37">
        <f>Monthly!AL4</f>
        <v>47392</v>
      </c>
      <c r="AM4" s="37">
        <f>Monthly!AM4</f>
        <v>47423</v>
      </c>
      <c r="AN4" s="37">
        <f>Monthly!AN4</f>
        <v>47453</v>
      </c>
      <c r="AO4" s="37">
        <f>Monthly!AO4</f>
        <v>47484</v>
      </c>
      <c r="AP4" s="37">
        <f>Monthly!AP4</f>
        <v>47515</v>
      </c>
      <c r="AQ4" s="37">
        <f>Monthly!AQ4</f>
        <v>47543</v>
      </c>
      <c r="AR4" s="37">
        <f>Monthly!AR4</f>
        <v>47574</v>
      </c>
      <c r="AS4" s="37">
        <f>Monthly!AS4</f>
        <v>47604</v>
      </c>
      <c r="AT4" s="37">
        <f>Monthly!AT4</f>
        <v>47635</v>
      </c>
      <c r="AU4" s="37">
        <f>Monthly!AU4</f>
        <v>47665</v>
      </c>
      <c r="AV4" s="37">
        <f>Monthly!AV4</f>
        <v>47696</v>
      </c>
      <c r="AW4" s="37">
        <f>Monthly!AW4</f>
        <v>47727</v>
      </c>
      <c r="AX4" s="37">
        <f>Monthly!AX4</f>
        <v>47757</v>
      </c>
      <c r="AY4" s="37">
        <f>Monthly!AY4</f>
        <v>47788</v>
      </c>
      <c r="AZ4" s="37">
        <f>Monthly!AZ4</f>
        <v>47818</v>
      </c>
      <c r="BA4" s="37">
        <f>Monthly!BA4</f>
        <v>47849</v>
      </c>
      <c r="BB4" s="37">
        <f>Monthly!BB4</f>
        <v>47880</v>
      </c>
      <c r="BC4" s="37">
        <f>Monthly!BC4</f>
        <v>47908</v>
      </c>
      <c r="BD4" s="37">
        <f>Monthly!BD4</f>
        <v>47939</v>
      </c>
      <c r="BE4" s="37">
        <f>Monthly!BE4</f>
        <v>47969</v>
      </c>
      <c r="BF4" s="37">
        <f>Monthly!BF4</f>
        <v>48000</v>
      </c>
      <c r="BG4" s="37">
        <f>Monthly!BG4</f>
        <v>48030</v>
      </c>
      <c r="BH4" s="37">
        <f>Monthly!BH4</f>
        <v>48061</v>
      </c>
      <c r="BI4" s="37">
        <f>Monthly!BI4</f>
        <v>48092</v>
      </c>
      <c r="BJ4" s="37">
        <f>Monthly!BJ4</f>
        <v>48122</v>
      </c>
      <c r="BK4" s="37">
        <f>Monthly!BK4</f>
        <v>48153</v>
      </c>
      <c r="BL4" s="37">
        <f>Monthly!BL4</f>
        <v>48183</v>
      </c>
      <c r="BN4" s="57">
        <f>start_year+0</f>
        <v>2027</v>
      </c>
      <c r="BO4" s="57">
        <f>start_year+1</f>
        <v>2028</v>
      </c>
      <c r="BP4" s="57">
        <f>start_year+2</f>
        <v>2029</v>
      </c>
      <c r="BQ4" s="57">
        <f>start_year+3</f>
        <v>2030</v>
      </c>
      <c r="BR4" s="57">
        <f>start_year+4</f>
        <v>2031</v>
      </c>
    </row>
    <row r="5" spans="1:70" x14ac:dyDescent="0.25">
      <c r="A5" s="21" t="s">
        <v>437</v>
      </c>
      <c r="D5" s="38">
        <f>Monthly!D5</f>
        <v>0</v>
      </c>
      <c r="E5" s="38">
        <f>Monthly!E5</f>
        <v>1</v>
      </c>
      <c r="F5" s="38">
        <f>Monthly!F5</f>
        <v>2</v>
      </c>
      <c r="G5" s="38">
        <f>Monthly!G5</f>
        <v>3</v>
      </c>
      <c r="H5" s="38">
        <f>Monthly!H5</f>
        <v>4</v>
      </c>
      <c r="I5" s="38">
        <f>Monthly!I5</f>
        <v>5</v>
      </c>
      <c r="J5" s="38">
        <f>Monthly!J5</f>
        <v>6</v>
      </c>
      <c r="K5" s="38">
        <f>Monthly!K5</f>
        <v>7</v>
      </c>
      <c r="L5" s="38">
        <f>Monthly!L5</f>
        <v>8</v>
      </c>
      <c r="M5" s="38">
        <f>Monthly!M5</f>
        <v>9</v>
      </c>
      <c r="N5" s="38">
        <f>Monthly!N5</f>
        <v>10</v>
      </c>
      <c r="O5" s="38">
        <f>Monthly!O5</f>
        <v>11</v>
      </c>
      <c r="P5" s="38">
        <f>Monthly!P5</f>
        <v>12</v>
      </c>
      <c r="Q5" s="38">
        <f>Monthly!Q5</f>
        <v>13</v>
      </c>
      <c r="R5" s="38">
        <f>Monthly!R5</f>
        <v>14</v>
      </c>
      <c r="S5" s="38">
        <f>Monthly!S5</f>
        <v>15</v>
      </c>
      <c r="T5" s="38">
        <f>Monthly!T5</f>
        <v>16</v>
      </c>
      <c r="U5" s="38">
        <f>Monthly!U5</f>
        <v>17</v>
      </c>
      <c r="V5" s="38">
        <f>Monthly!V5</f>
        <v>18</v>
      </c>
      <c r="W5" s="38">
        <f>Monthly!W5</f>
        <v>19</v>
      </c>
      <c r="X5" s="38">
        <f>Monthly!X5</f>
        <v>20</v>
      </c>
      <c r="Y5" s="38">
        <f>Monthly!Y5</f>
        <v>21</v>
      </c>
      <c r="Z5" s="38">
        <f>Monthly!Z5</f>
        <v>22</v>
      </c>
      <c r="AA5" s="38">
        <f>Monthly!AA5</f>
        <v>23</v>
      </c>
      <c r="AB5" s="38">
        <f>Monthly!AB5</f>
        <v>24</v>
      </c>
      <c r="AC5" s="38">
        <f>Monthly!AC5</f>
        <v>25</v>
      </c>
      <c r="AD5" s="38">
        <f>Monthly!AD5</f>
        <v>26</v>
      </c>
      <c r="AE5" s="38">
        <f>Monthly!AE5</f>
        <v>27</v>
      </c>
      <c r="AF5" s="38">
        <f>Monthly!AF5</f>
        <v>28</v>
      </c>
      <c r="AG5" s="38">
        <f>Monthly!AG5</f>
        <v>29</v>
      </c>
      <c r="AH5" s="38">
        <f>Monthly!AH5</f>
        <v>30</v>
      </c>
      <c r="AI5" s="38">
        <f>Monthly!AI5</f>
        <v>31</v>
      </c>
      <c r="AJ5" s="38">
        <f>Monthly!AJ5</f>
        <v>32</v>
      </c>
      <c r="AK5" s="38">
        <f>Monthly!AK5</f>
        <v>33</v>
      </c>
      <c r="AL5" s="38">
        <f>Monthly!AL5</f>
        <v>34</v>
      </c>
      <c r="AM5" s="38">
        <f>Monthly!AM5</f>
        <v>35</v>
      </c>
      <c r="AN5" s="38">
        <f>Monthly!AN5</f>
        <v>36</v>
      </c>
      <c r="AO5" s="38">
        <f>Monthly!AO5</f>
        <v>37</v>
      </c>
      <c r="AP5" s="38">
        <f>Monthly!AP5</f>
        <v>38</v>
      </c>
      <c r="AQ5" s="38">
        <f>Monthly!AQ5</f>
        <v>39</v>
      </c>
      <c r="AR5" s="38">
        <f>Monthly!AR5</f>
        <v>40</v>
      </c>
      <c r="AS5" s="38">
        <f>Monthly!AS5</f>
        <v>41</v>
      </c>
      <c r="AT5" s="38">
        <f>Monthly!AT5</f>
        <v>42</v>
      </c>
      <c r="AU5" s="38">
        <f>Monthly!AU5</f>
        <v>43</v>
      </c>
      <c r="AV5" s="38">
        <f>Monthly!AV5</f>
        <v>44</v>
      </c>
      <c r="AW5" s="38">
        <f>Monthly!AW5</f>
        <v>45</v>
      </c>
      <c r="AX5" s="38">
        <f>Monthly!AX5</f>
        <v>46</v>
      </c>
      <c r="AY5" s="38">
        <f>Monthly!AY5</f>
        <v>47</v>
      </c>
      <c r="AZ5" s="38">
        <f>Monthly!AZ5</f>
        <v>48</v>
      </c>
      <c r="BA5" s="38">
        <f>Monthly!BA5</f>
        <v>49</v>
      </c>
      <c r="BB5" s="38">
        <f>Monthly!BB5</f>
        <v>50</v>
      </c>
      <c r="BC5" s="38">
        <f>Monthly!BC5</f>
        <v>51</v>
      </c>
      <c r="BD5" s="38">
        <f>Monthly!BD5</f>
        <v>52</v>
      </c>
      <c r="BE5" s="38">
        <f>Monthly!BE5</f>
        <v>53</v>
      </c>
      <c r="BF5" s="38">
        <f>Monthly!BF5</f>
        <v>54</v>
      </c>
      <c r="BG5" s="38">
        <f>Monthly!BG5</f>
        <v>55</v>
      </c>
      <c r="BH5" s="38">
        <f>Monthly!BH5</f>
        <v>56</v>
      </c>
      <c r="BI5" s="38">
        <f>Monthly!BI5</f>
        <v>57</v>
      </c>
      <c r="BJ5" s="38">
        <f>Monthly!BJ5</f>
        <v>58</v>
      </c>
      <c r="BK5" s="38">
        <f>Monthly!BK5</f>
        <v>59</v>
      </c>
      <c r="BL5" s="38">
        <f>Monthly!BL5</f>
        <v>60</v>
      </c>
    </row>
    <row r="6" spans="1:70" x14ac:dyDescent="0.25">
      <c r="A6" s="21" t="s">
        <v>438</v>
      </c>
      <c r="D6" s="38">
        <f>Monthly!D6</f>
        <v>2026</v>
      </c>
      <c r="E6" s="38">
        <f>Monthly!E6</f>
        <v>2027</v>
      </c>
      <c r="F6" s="38">
        <f>Monthly!F6</f>
        <v>2027</v>
      </c>
      <c r="G6" s="38">
        <f>Monthly!G6</f>
        <v>2027</v>
      </c>
      <c r="H6" s="38">
        <f>Monthly!H6</f>
        <v>2027</v>
      </c>
      <c r="I6" s="38">
        <f>Monthly!I6</f>
        <v>2027</v>
      </c>
      <c r="J6" s="38">
        <f>Monthly!J6</f>
        <v>2027</v>
      </c>
      <c r="K6" s="38">
        <f>Monthly!K6</f>
        <v>2027</v>
      </c>
      <c r="L6" s="38">
        <f>Monthly!L6</f>
        <v>2027</v>
      </c>
      <c r="M6" s="38">
        <f>Monthly!M6</f>
        <v>2027</v>
      </c>
      <c r="N6" s="38">
        <f>Monthly!N6</f>
        <v>2027</v>
      </c>
      <c r="O6" s="38">
        <f>Monthly!O6</f>
        <v>2027</v>
      </c>
      <c r="P6" s="38">
        <f>Monthly!P6</f>
        <v>2027</v>
      </c>
      <c r="Q6" s="38">
        <f>Monthly!Q6</f>
        <v>2028</v>
      </c>
      <c r="R6" s="38">
        <f>Monthly!R6</f>
        <v>2028</v>
      </c>
      <c r="S6" s="38">
        <f>Monthly!S6</f>
        <v>2028</v>
      </c>
      <c r="T6" s="38">
        <f>Monthly!T6</f>
        <v>2028</v>
      </c>
      <c r="U6" s="38">
        <f>Monthly!U6</f>
        <v>2028</v>
      </c>
      <c r="V6" s="38">
        <f>Monthly!V6</f>
        <v>2028</v>
      </c>
      <c r="W6" s="38">
        <f>Monthly!W6</f>
        <v>2028</v>
      </c>
      <c r="X6" s="38">
        <f>Monthly!X6</f>
        <v>2028</v>
      </c>
      <c r="Y6" s="38">
        <f>Monthly!Y6</f>
        <v>2028</v>
      </c>
      <c r="Z6" s="38">
        <f>Monthly!Z6</f>
        <v>2028</v>
      </c>
      <c r="AA6" s="38">
        <f>Monthly!AA6</f>
        <v>2028</v>
      </c>
      <c r="AB6" s="38">
        <f>Monthly!AB6</f>
        <v>2028</v>
      </c>
      <c r="AC6" s="38">
        <f>Monthly!AC6</f>
        <v>2029</v>
      </c>
      <c r="AD6" s="38">
        <f>Monthly!AD6</f>
        <v>2029</v>
      </c>
      <c r="AE6" s="38">
        <f>Monthly!AE6</f>
        <v>2029</v>
      </c>
      <c r="AF6" s="38">
        <f>Monthly!AF6</f>
        <v>2029</v>
      </c>
      <c r="AG6" s="38">
        <f>Monthly!AG6</f>
        <v>2029</v>
      </c>
      <c r="AH6" s="38">
        <f>Monthly!AH6</f>
        <v>2029</v>
      </c>
      <c r="AI6" s="38">
        <f>Monthly!AI6</f>
        <v>2029</v>
      </c>
      <c r="AJ6" s="38">
        <f>Monthly!AJ6</f>
        <v>2029</v>
      </c>
      <c r="AK6" s="38">
        <f>Monthly!AK6</f>
        <v>2029</v>
      </c>
      <c r="AL6" s="38">
        <f>Monthly!AL6</f>
        <v>2029</v>
      </c>
      <c r="AM6" s="38">
        <f>Monthly!AM6</f>
        <v>2029</v>
      </c>
      <c r="AN6" s="38">
        <f>Monthly!AN6</f>
        <v>2029</v>
      </c>
      <c r="AO6" s="38">
        <f>Monthly!AO6</f>
        <v>2030</v>
      </c>
      <c r="AP6" s="38">
        <f>Monthly!AP6</f>
        <v>2030</v>
      </c>
      <c r="AQ6" s="38">
        <f>Monthly!AQ6</f>
        <v>2030</v>
      </c>
      <c r="AR6" s="38">
        <f>Monthly!AR6</f>
        <v>2030</v>
      </c>
      <c r="AS6" s="38">
        <f>Monthly!AS6</f>
        <v>2030</v>
      </c>
      <c r="AT6" s="38">
        <f>Monthly!AT6</f>
        <v>2030</v>
      </c>
      <c r="AU6" s="38">
        <f>Monthly!AU6</f>
        <v>2030</v>
      </c>
      <c r="AV6" s="38">
        <f>Monthly!AV6</f>
        <v>2030</v>
      </c>
      <c r="AW6" s="38">
        <f>Monthly!AW6</f>
        <v>2030</v>
      </c>
      <c r="AX6" s="38">
        <f>Monthly!AX6</f>
        <v>2030</v>
      </c>
      <c r="AY6" s="38">
        <f>Monthly!AY6</f>
        <v>2030</v>
      </c>
      <c r="AZ6" s="38">
        <f>Monthly!AZ6</f>
        <v>2030</v>
      </c>
      <c r="BA6" s="38">
        <f>Monthly!BA6</f>
        <v>2031</v>
      </c>
      <c r="BB6" s="38">
        <f>Monthly!BB6</f>
        <v>2031</v>
      </c>
      <c r="BC6" s="38">
        <f>Monthly!BC6</f>
        <v>2031</v>
      </c>
      <c r="BD6" s="38">
        <f>Monthly!BD6</f>
        <v>2031</v>
      </c>
      <c r="BE6" s="38">
        <f>Monthly!BE6</f>
        <v>2031</v>
      </c>
      <c r="BF6" s="38">
        <f>Monthly!BF6</f>
        <v>2031</v>
      </c>
      <c r="BG6" s="38">
        <f>Monthly!BG6</f>
        <v>2031</v>
      </c>
      <c r="BH6" s="38">
        <f>Monthly!BH6</f>
        <v>2031</v>
      </c>
      <c r="BI6" s="38">
        <f>Monthly!BI6</f>
        <v>2031</v>
      </c>
      <c r="BJ6" s="38">
        <f>Monthly!BJ6</f>
        <v>2031</v>
      </c>
      <c r="BK6" s="38">
        <f>Monthly!BK6</f>
        <v>2031</v>
      </c>
      <c r="BL6" s="38">
        <f>Monthly!BL6</f>
        <v>2031</v>
      </c>
    </row>
    <row r="8" spans="1:70" x14ac:dyDescent="0.25">
      <c r="A8" s="19" t="s">
        <v>571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N8" s="20"/>
      <c r="BO8" s="20"/>
      <c r="BP8" s="20"/>
      <c r="BQ8" s="20"/>
      <c r="BR8" s="20"/>
    </row>
    <row r="9" spans="1:70" x14ac:dyDescent="0.25">
      <c r="A9" s="8" t="s">
        <v>523</v>
      </c>
      <c r="B9" s="10" t="s">
        <v>83</v>
      </c>
      <c r="E9" s="58">
        <f>Monthly!E83</f>
        <v>-100120.73134</v>
      </c>
      <c r="F9" s="58">
        <f>Monthly!F83</f>
        <v>-94611.371655759605</v>
      </c>
      <c r="G9" s="58">
        <f>Monthly!G83</f>
        <v>-118992.1538009261</v>
      </c>
      <c r="H9" s="58">
        <f>Monthly!H83</f>
        <v>-126479.94122187568</v>
      </c>
      <c r="I9" s="58">
        <f>Monthly!I83</f>
        <v>-121591.89343572571</v>
      </c>
      <c r="J9" s="58">
        <f>Monthly!J83</f>
        <v>-139487.96588150764</v>
      </c>
      <c r="K9" s="58">
        <f>Monthly!K83</f>
        <v>-130825.9236298006</v>
      </c>
      <c r="L9" s="58">
        <f>Monthly!L83</f>
        <v>-140825.70922395444</v>
      </c>
      <c r="M9" s="58">
        <f>Monthly!M83</f>
        <v>-166286.95164306066</v>
      </c>
      <c r="N9" s="58">
        <f>Monthly!N83</f>
        <v>-159088.26855441532</v>
      </c>
      <c r="O9" s="58">
        <f>Monthly!O83</f>
        <v>-160109.93224570958</v>
      </c>
      <c r="P9" s="58">
        <f>Monthly!P83</f>
        <v>-151416.04328430098</v>
      </c>
      <c r="Q9" s="58">
        <f>Monthly!Q83</f>
        <v>-169897.30828006403</v>
      </c>
      <c r="R9" s="58">
        <f>Monthly!R83</f>
        <v>-172345.70762391499</v>
      </c>
      <c r="S9" s="58">
        <f>Monthly!S83</f>
        <v>-175974.04971730945</v>
      </c>
      <c r="T9" s="58">
        <f>Monthly!T83</f>
        <v>-177788.03577820249</v>
      </c>
      <c r="U9" s="58">
        <f>Monthly!U83</f>
        <v>-172454.908124304</v>
      </c>
      <c r="V9" s="58">
        <f>Monthly!V83</f>
        <v>-207250.45290369194</v>
      </c>
      <c r="W9" s="58">
        <f>Monthly!W83</f>
        <v>-148859.42602101932</v>
      </c>
      <c r="X9" s="58">
        <f>Monthly!X83</f>
        <v>-131171.17188031937</v>
      </c>
      <c r="Y9" s="58">
        <f>Monthly!Y83</f>
        <v>-168751.53470622652</v>
      </c>
      <c r="Z9" s="58">
        <f>Monthly!Z83</f>
        <v>-188865.92071116934</v>
      </c>
      <c r="AA9" s="58">
        <f>Monthly!AA83</f>
        <v>-171039.62244560235</v>
      </c>
      <c r="AB9" s="58">
        <f>Monthly!AB83</f>
        <v>-152175.13838037956</v>
      </c>
      <c r="AC9" s="58">
        <f>Monthly!AC83</f>
        <v>-127130.88742380191</v>
      </c>
      <c r="AD9" s="58">
        <f>Monthly!AD83</f>
        <v>-135807.70742564456</v>
      </c>
      <c r="AE9" s="58">
        <f>Monthly!AE83</f>
        <v>-123624.65997268859</v>
      </c>
      <c r="AF9" s="58">
        <f>Monthly!AF83</f>
        <v>-144548.89256287867</v>
      </c>
      <c r="AG9" s="58">
        <f>Monthly!AG83</f>
        <v>-118438.49447700383</v>
      </c>
      <c r="AH9" s="58">
        <f>Monthly!AH83</f>
        <v>-196055.63117794835</v>
      </c>
      <c r="AI9" s="58">
        <f>Monthly!AI83</f>
        <v>-127114.90711080602</v>
      </c>
      <c r="AJ9" s="58">
        <f>Monthly!AJ83</f>
        <v>-121876.48704446328</v>
      </c>
      <c r="AK9" s="58">
        <f>Monthly!AK83</f>
        <v>-113769.18506510418</v>
      </c>
      <c r="AL9" s="58">
        <f>Monthly!AL83</f>
        <v>-91221.786902733918</v>
      </c>
      <c r="AM9" s="58">
        <f>Monthly!AM83</f>
        <v>-70063.538924059278</v>
      </c>
      <c r="AN9" s="58">
        <f>Monthly!AN83</f>
        <v>-93304.492680614698</v>
      </c>
      <c r="AO9" s="58">
        <f>Monthly!AO83</f>
        <v>-34059.62544132513</v>
      </c>
      <c r="AP9" s="58">
        <f>Monthly!AP83</f>
        <v>-27904.683917854058</v>
      </c>
      <c r="AQ9" s="58">
        <f>Monthly!AQ83</f>
        <v>-27198.119504783328</v>
      </c>
      <c r="AR9" s="58">
        <f>Monthly!AR83</f>
        <v>8914.9121391314293</v>
      </c>
      <c r="AS9" s="58">
        <f>Monthly!AS83</f>
        <v>25003.237376376132</v>
      </c>
      <c r="AT9" s="58">
        <f>Monthly!AT83</f>
        <v>7099.1963280237978</v>
      </c>
      <c r="AU9" s="58">
        <f>Monthly!AU83</f>
        <v>59987.205929465941</v>
      </c>
      <c r="AV9" s="58">
        <f>Monthly!AV83</f>
        <v>73538.329647893886</v>
      </c>
      <c r="AW9" s="58">
        <f>Monthly!AW83</f>
        <v>85411.169264412179</v>
      </c>
      <c r="AX9" s="58">
        <f>Monthly!AX83</f>
        <v>135635.77285085592</v>
      </c>
      <c r="AY9" s="58">
        <f>Monthly!AY83</f>
        <v>168167.79804409391</v>
      </c>
      <c r="AZ9" s="58">
        <f>Monthly!AZ83</f>
        <v>135750.67532556725</v>
      </c>
      <c r="BA9" s="58">
        <f>Monthly!BA83</f>
        <v>277561.79880033754</v>
      </c>
      <c r="BB9" s="58">
        <f>Monthly!BB83</f>
        <v>307620.18487361079</v>
      </c>
      <c r="BC9" s="58">
        <f>Monthly!BC83</f>
        <v>364243.06968614069</v>
      </c>
      <c r="BD9" s="58">
        <f>Monthly!BD83</f>
        <v>394027.32588208764</v>
      </c>
      <c r="BE9" s="58">
        <f>Monthly!BE83</f>
        <v>465699.634711258</v>
      </c>
      <c r="BF9" s="58">
        <f>Monthly!BF83</f>
        <v>471326.78674811061</v>
      </c>
      <c r="BG9" s="58">
        <f>Monthly!BG83</f>
        <v>519883.34522297623</v>
      </c>
      <c r="BH9" s="58">
        <f>Monthly!BH83</f>
        <v>583605.8511713217</v>
      </c>
      <c r="BI9" s="58">
        <f>Monthly!BI83</f>
        <v>621589.16639002669</v>
      </c>
      <c r="BJ9" s="58">
        <f>Monthly!BJ83</f>
        <v>689129.99726178392</v>
      </c>
      <c r="BK9" s="58">
        <f>Monthly!BK83</f>
        <v>744906.5961587429</v>
      </c>
      <c r="BL9" s="58">
        <f>Monthly!BL83</f>
        <v>453387.59427001257</v>
      </c>
      <c r="BN9" s="50">
        <f t="shared" ref="BN9:BR13" si="0">SUMIFS($E9:$BL9,$E$6:$BL$6,BN$4)</f>
        <v>-1609836.8859170361</v>
      </c>
      <c r="BO9" s="50">
        <f t="shared" si="0"/>
        <v>-2036573.2765722033</v>
      </c>
      <c r="BP9" s="50">
        <f t="shared" si="0"/>
        <v>-1462956.6707677473</v>
      </c>
      <c r="BQ9" s="50">
        <f t="shared" si="0"/>
        <v>610345.86804185796</v>
      </c>
      <c r="BR9" s="50">
        <f t="shared" si="0"/>
        <v>5892981.3511764091</v>
      </c>
    </row>
    <row r="10" spans="1:70" x14ac:dyDescent="0.25">
      <c r="A10" s="8" t="s">
        <v>572</v>
      </c>
      <c r="B10" s="10" t="s">
        <v>83</v>
      </c>
      <c r="E10" s="58">
        <f>Monthly!E76</f>
        <v>0</v>
      </c>
      <c r="F10" s="58">
        <f>Monthly!F76</f>
        <v>0</v>
      </c>
      <c r="G10" s="58">
        <f>Monthly!G76</f>
        <v>138.88888888888889</v>
      </c>
      <c r="H10" s="58">
        <f>Monthly!H76</f>
        <v>208.33333333333334</v>
      </c>
      <c r="I10" s="58">
        <f>Monthly!I76</f>
        <v>208.33333333333334</v>
      </c>
      <c r="J10" s="58">
        <f>Monthly!J76</f>
        <v>347.22222222222223</v>
      </c>
      <c r="K10" s="58">
        <f>Monthly!K76</f>
        <v>347.22222222222223</v>
      </c>
      <c r="L10" s="58">
        <f>Monthly!L76</f>
        <v>416.66666666666669</v>
      </c>
      <c r="M10" s="58">
        <f>Monthly!M76</f>
        <v>555.55555555555554</v>
      </c>
      <c r="N10" s="58">
        <f>Monthly!N76</f>
        <v>555.55555555555554</v>
      </c>
      <c r="O10" s="58">
        <f>Monthly!O76</f>
        <v>625</v>
      </c>
      <c r="P10" s="58">
        <f>Monthly!P76</f>
        <v>625</v>
      </c>
      <c r="Q10" s="58">
        <f>Monthly!Q76</f>
        <v>763.88888888888891</v>
      </c>
      <c r="R10" s="58">
        <f>Monthly!R76</f>
        <v>833.33333333333337</v>
      </c>
      <c r="S10" s="58">
        <f>Monthly!S76</f>
        <v>902.77777777777783</v>
      </c>
      <c r="T10" s="58">
        <f>Monthly!T76</f>
        <v>972.22222222222217</v>
      </c>
      <c r="U10" s="58">
        <f>Monthly!U76</f>
        <v>1041.6666666666667</v>
      </c>
      <c r="V10" s="58">
        <f>Monthly!V76</f>
        <v>1111.1111111111111</v>
      </c>
      <c r="W10" s="58">
        <f>Monthly!W76</f>
        <v>1111.1111111111111</v>
      </c>
      <c r="X10" s="58">
        <f>Monthly!X76</f>
        <v>1111.1111111111111</v>
      </c>
      <c r="Y10" s="58">
        <f>Monthly!Y76</f>
        <v>1388.8888888888889</v>
      </c>
      <c r="Z10" s="58">
        <f>Monthly!Z76</f>
        <v>1597.2222222222222</v>
      </c>
      <c r="AA10" s="58">
        <f>Monthly!AA76</f>
        <v>1597.2222222222222</v>
      </c>
      <c r="AB10" s="58">
        <f>Monthly!AB76</f>
        <v>1597.2222222222222</v>
      </c>
      <c r="AC10" s="58">
        <f>Monthly!AC76</f>
        <v>1597.2222222222222</v>
      </c>
      <c r="AD10" s="58">
        <f>Monthly!AD76</f>
        <v>1736.1111111111111</v>
      </c>
      <c r="AE10" s="58">
        <f>Monthly!AE76</f>
        <v>1805.5555555555557</v>
      </c>
      <c r="AF10" s="58">
        <f>Monthly!AF76</f>
        <v>2013.8888888888889</v>
      </c>
      <c r="AG10" s="58">
        <f>Monthly!AG76</f>
        <v>2013.8888888888889</v>
      </c>
      <c r="AH10" s="58">
        <f>Monthly!AH76</f>
        <v>2291.6666666666665</v>
      </c>
      <c r="AI10" s="58">
        <f>Monthly!AI76</f>
        <v>2361.1111111111113</v>
      </c>
      <c r="AJ10" s="58">
        <f>Monthly!AJ76</f>
        <v>2500</v>
      </c>
      <c r="AK10" s="58">
        <f>Monthly!AK76</f>
        <v>2638.8888888888887</v>
      </c>
      <c r="AL10" s="58">
        <f>Monthly!AL76</f>
        <v>2708.3333333333335</v>
      </c>
      <c r="AM10" s="58">
        <f>Monthly!AM76</f>
        <v>2777.7777777777778</v>
      </c>
      <c r="AN10" s="58">
        <f>Monthly!AN76</f>
        <v>3125</v>
      </c>
      <c r="AO10" s="58">
        <f>Monthly!AO76</f>
        <v>3125</v>
      </c>
      <c r="AP10" s="58">
        <f>Monthly!AP76</f>
        <v>3333.3333333333335</v>
      </c>
      <c r="AQ10" s="58">
        <f>Monthly!AQ76</f>
        <v>3402.7777777777778</v>
      </c>
      <c r="AR10" s="58">
        <f>Monthly!AR76</f>
        <v>3402.7777777777778</v>
      </c>
      <c r="AS10" s="58">
        <f>Monthly!AS76</f>
        <v>3541.6666666666665</v>
      </c>
      <c r="AT10" s="58">
        <f>Monthly!AT76</f>
        <v>3750</v>
      </c>
      <c r="AU10" s="58">
        <f>Monthly!AU76</f>
        <v>3750</v>
      </c>
      <c r="AV10" s="58">
        <f>Monthly!AV76</f>
        <v>3888.8888888888887</v>
      </c>
      <c r="AW10" s="58">
        <f>Monthly!AW76</f>
        <v>3958.3333333333335</v>
      </c>
      <c r="AX10" s="58">
        <f>Monthly!AX76</f>
        <v>4027.7777777777778</v>
      </c>
      <c r="AY10" s="58">
        <f>Monthly!AY76</f>
        <v>4097.2222222222226</v>
      </c>
      <c r="AZ10" s="58">
        <f>Monthly!AZ76</f>
        <v>4444.4444444444443</v>
      </c>
      <c r="BA10" s="58">
        <f>Monthly!BA76</f>
        <v>4305.5555555555557</v>
      </c>
      <c r="BB10" s="58">
        <f>Monthly!BB76</f>
        <v>4444.4444444444443</v>
      </c>
      <c r="BC10" s="58">
        <f>Monthly!BC76</f>
        <v>4444.4444444444443</v>
      </c>
      <c r="BD10" s="58">
        <f>Monthly!BD76</f>
        <v>4583.333333333333</v>
      </c>
      <c r="BE10" s="58">
        <f>Monthly!BE76</f>
        <v>4513.8888888888887</v>
      </c>
      <c r="BF10" s="58">
        <f>Monthly!BF76</f>
        <v>4791.666666666667</v>
      </c>
      <c r="BG10" s="58">
        <f>Monthly!BG76</f>
        <v>4930.5555555555557</v>
      </c>
      <c r="BH10" s="58">
        <f>Monthly!BH76</f>
        <v>5000</v>
      </c>
      <c r="BI10" s="58">
        <f>Monthly!BI76</f>
        <v>4930.5555555555557</v>
      </c>
      <c r="BJ10" s="58">
        <f>Monthly!BJ76</f>
        <v>4791.666666666667</v>
      </c>
      <c r="BK10" s="58">
        <f>Monthly!BK76</f>
        <v>4930.5555555555557</v>
      </c>
      <c r="BL10" s="58">
        <f>Monthly!BL76</f>
        <v>5277.7777777777774</v>
      </c>
      <c r="BN10" s="50">
        <f t="shared" si="0"/>
        <v>4027.7777777777778</v>
      </c>
      <c r="BO10" s="50">
        <f t="shared" si="0"/>
        <v>14027.777777777779</v>
      </c>
      <c r="BP10" s="50">
        <f t="shared" si="0"/>
        <v>27569.444444444442</v>
      </c>
      <c r="BQ10" s="50">
        <f t="shared" si="0"/>
        <v>44722.222222222226</v>
      </c>
      <c r="BR10" s="50">
        <f t="shared" si="0"/>
        <v>56944.444444444438</v>
      </c>
    </row>
    <row r="11" spans="1:70" x14ac:dyDescent="0.25">
      <c r="A11" s="8" t="s">
        <v>573</v>
      </c>
      <c r="B11" s="10" t="s">
        <v>83</v>
      </c>
      <c r="E11" s="50">
        <f>-('Balance Sheet'!E10-'Balance Sheet'!D10)</f>
        <v>-0.19599999999991269</v>
      </c>
      <c r="F11" s="50">
        <f>-('Balance Sheet'!F10-'Balance Sheet'!E10)</f>
        <v>-6575.4791242399988</v>
      </c>
      <c r="G11" s="50">
        <f>-('Balance Sheet'!G10-'Balance Sheet'!F10)</f>
        <v>-6630.9096789955875</v>
      </c>
      <c r="H11" s="50">
        <f>-('Balance Sheet'!H10-'Balance Sheet'!G10)</f>
        <v>-6686.1151856988654</v>
      </c>
      <c r="I11" s="50">
        <f>-('Balance Sheet'!I10-'Balance Sheet'!H10)</f>
        <v>-7151.7315580449213</v>
      </c>
      <c r="J11" s="50">
        <f>-('Balance Sheet'!J10-'Balance Sheet'!I10)</f>
        <v>-7615.457527919265</v>
      </c>
      <c r="K11" s="50">
        <f>-('Balance Sheet'!K10-'Balance Sheet'!J10)</f>
        <v>-8898.5707703559092</v>
      </c>
      <c r="L11" s="50">
        <f>-('Balance Sheet'!L10-'Balance Sheet'!K10)</f>
        <v>-8533.9345730282657</v>
      </c>
      <c r="M11" s="50">
        <f>-('Balance Sheet'!M10-'Balance Sheet'!L10)</f>
        <v>-9402.6837986617757</v>
      </c>
      <c r="N11" s="50">
        <f>-('Balance Sheet'!N10-'Balance Sheet'!M10)</f>
        <v>-11089.175902439194</v>
      </c>
      <c r="O11" s="50">
        <f>-('Balance Sheet'!O10-'Balance Sheet'!N10)</f>
        <v>-11947.550848275321</v>
      </c>
      <c r="P11" s="50">
        <f>-('Balance Sheet'!P10-'Balance Sheet'!O10)</f>
        <v>-12802.440791831308</v>
      </c>
      <c r="Q11" s="50">
        <f>-('Balance Sheet'!Q10-'Balance Sheet'!P10)</f>
        <v>-19102.064408001228</v>
      </c>
      <c r="R11" s="50">
        <f>-('Balance Sheet'!R10-'Balance Sheet'!Q10)</f>
        <v>-15110.022210719966</v>
      </c>
      <c r="S11" s="50">
        <f>-('Balance Sheet'!S10-'Balance Sheet'!R10)</f>
        <v>-16332.246070544468</v>
      </c>
      <c r="T11" s="50">
        <f>-('Balance Sheet'!T10-'Balance Sheet'!S10)</f>
        <v>-18405.221401498042</v>
      </c>
      <c r="U11" s="50">
        <f>-('Balance Sheet'!U10-'Balance Sheet'!T10)</f>
        <v>-20469.780452607985</v>
      </c>
      <c r="V11" s="50">
        <f>-('Balance Sheet'!V10-'Balance Sheet'!U10)</f>
        <v>-21670.243693970318</v>
      </c>
      <c r="W11" s="50">
        <f>-('Balance Sheet'!W10-'Balance Sheet'!V10)</f>
        <v>-22865.833054572926</v>
      </c>
      <c r="X11" s="50">
        <f>-('Balance Sheet'!X10-'Balance Sheet'!W10)</f>
        <v>-21489.427222371276</v>
      </c>
      <c r="Y11" s="50">
        <f>-('Balance Sheet'!Y10-'Balance Sheet'!X10)</f>
        <v>-21830.036997848481</v>
      </c>
      <c r="Z11" s="50">
        <f>-('Balance Sheet'!Z10-'Balance Sheet'!Y10)</f>
        <v>-23024.977597637218</v>
      </c>
      <c r="AA11" s="50">
        <f>-('Balance Sheet'!AA10-'Balance Sheet'!Z10)</f>
        <v>-24215.066738590773</v>
      </c>
      <c r="AB11" s="50">
        <f>-('Balance Sheet'!AB10-'Balance Sheet'!AA10)</f>
        <v>-25400.324117632117</v>
      </c>
      <c r="AC11" s="50">
        <f>-('Balance Sheet'!AC10-'Balance Sheet'!AB10)</f>
        <v>-43136.242840703751</v>
      </c>
      <c r="AD11" s="50">
        <f>-('Balance Sheet'!AD10-'Balance Sheet'!AC10)</f>
        <v>-28926.435332981346</v>
      </c>
      <c r="AE11" s="50">
        <f>-('Balance Sheet'!AE10-'Balance Sheet'!AD10)</f>
        <v>-31038.455265529337</v>
      </c>
      <c r="AF11" s="50">
        <f>-('Balance Sheet'!AF10-'Balance Sheet'!AE10)</f>
        <v>-33141.900397151301</v>
      </c>
      <c r="AG11" s="50">
        <f>-('Balance Sheet'!AG10-'Balance Sheet'!AF10)</f>
        <v>-36128.590045538789</v>
      </c>
      <c r="AH11" s="50">
        <f>-('Balance Sheet'!AH10-'Balance Sheet'!AG10)</f>
        <v>-38211.369229954085</v>
      </c>
      <c r="AI11" s="50">
        <f>-('Balance Sheet'!AI10-'Balance Sheet'!AH10)</f>
        <v>-40285.692330880323</v>
      </c>
      <c r="AJ11" s="50">
        <f>-('Balance Sheet'!AJ10-'Balance Sheet'!AI10)</f>
        <v>-42351.593680017046</v>
      </c>
      <c r="AK11" s="50">
        <f>-('Balance Sheet'!AK10-'Balance Sheet'!AJ10)</f>
        <v>-44409.107469676295</v>
      </c>
      <c r="AL11" s="50">
        <f>-('Balance Sheet'!AL10-'Balance Sheet'!AK10)</f>
        <v>-46458.267753349268</v>
      </c>
      <c r="AM11" s="50">
        <f>-('Balance Sheet'!AM10-'Balance Sheet'!AL10)</f>
        <v>-48499.10844627081</v>
      </c>
      <c r="AN11" s="50">
        <f>-('Balance Sheet'!AN10-'Balance Sheet'!AM10)</f>
        <v>-50531.663325978676</v>
      </c>
      <c r="AO11" s="50">
        <f>-('Balance Sheet'!AO10-'Balance Sheet'!AN10)</f>
        <v>-89816.015956797055</v>
      </c>
      <c r="AP11" s="50">
        <f>-('Balance Sheet'!AP10-'Balance Sheet'!AO10)</f>
        <v>-55027.647860018769</v>
      </c>
      <c r="AQ11" s="50">
        <f>-('Balance Sheet'!AQ10-'Balance Sheet'!AP10)</f>
        <v>-56198.557924947003</v>
      </c>
      <c r="AR11" s="50">
        <f>-('Balance Sheet'!AR10-'Balance Sheet'!AQ10)</f>
        <v>-58294.262305171927</v>
      </c>
      <c r="AS11" s="50">
        <f>-('Balance Sheet'!AS10-'Balance Sheet'!AR10)</f>
        <v>-60381.458125612698</v>
      </c>
      <c r="AT11" s="50">
        <f>-('Balance Sheet'!AT10-'Balance Sheet'!AS10)</f>
        <v>-63389.728141182801</v>
      </c>
      <c r="AU11" s="50">
        <f>-('Balance Sheet'!AU10-'Balance Sheet'!AT10)</f>
        <v>-66385.784580489853</v>
      </c>
      <c r="AV11" s="50">
        <f>-('Balance Sheet'!AV10-'Balance Sheet'!AU10)</f>
        <v>-68440.128820492653</v>
      </c>
      <c r="AW11" s="50">
        <f>-('Balance Sheet'!AW10-'Balance Sheet'!AV10)</f>
        <v>-71415.680633041775</v>
      </c>
      <c r="AX11" s="50">
        <f>-('Balance Sheet'!AX10-'Balance Sheet'!AW10)</f>
        <v>-74379.151705231285</v>
      </c>
      <c r="AY11" s="50">
        <f>-('Balance Sheet'!AY10-'Balance Sheet'!AX10)</f>
        <v>-76401.042874708306</v>
      </c>
      <c r="AZ11" s="50">
        <f>-('Balance Sheet'!AZ10-'Balance Sheet'!AY10)</f>
        <v>-78414.72516603698</v>
      </c>
      <c r="BA11" s="50">
        <f>-('Balance Sheet'!BA10-'Balance Sheet'!AZ10)</f>
        <v>-153787.85683179577</v>
      </c>
      <c r="BB11" s="50">
        <f>-('Balance Sheet'!BB10-'Balance Sheet'!BA10)</f>
        <v>-83018.758951486554</v>
      </c>
      <c r="BC11" s="50">
        <f>-('Balance Sheet'!BC10-'Balance Sheet'!BB10)</f>
        <v>-84135.312562747626</v>
      </c>
      <c r="BD11" s="50">
        <f>-('Balance Sheet'!BD10-'Balance Sheet'!BC10)</f>
        <v>-85247.332966346759</v>
      </c>
      <c r="BE11" s="50">
        <f>-('Balance Sheet'!BE10-'Balance Sheet'!BD10)</f>
        <v>-87323.911748843035</v>
      </c>
      <c r="BF11" s="50">
        <f>-('Balance Sheet'!BF10-'Balance Sheet'!BE10)</f>
        <v>-89392.059621483088</v>
      </c>
      <c r="BG11" s="50">
        <f>-('Balance Sheet'!BG10-'Balance Sheet'!BF10)</f>
        <v>-91451.810813759454</v>
      </c>
      <c r="BH11" s="50">
        <f>-('Balance Sheet'!BH10-'Balance Sheet'!BG10)</f>
        <v>-93503.199416195974</v>
      </c>
      <c r="BI11" s="50">
        <f>-('Balance Sheet'!BI10-'Balance Sheet'!BH10)</f>
        <v>-95546.259380906355</v>
      </c>
      <c r="BJ11" s="50">
        <f>-('Balance Sheet'!BJ10-'Balance Sheet'!BI10)</f>
        <v>-97581.024522159714</v>
      </c>
      <c r="BK11" s="50">
        <f>-('Balance Sheet'!BK10-'Balance Sheet'!BJ10)</f>
        <v>-99607.528516939841</v>
      </c>
      <c r="BL11" s="50">
        <f>-('Balance Sheet'!BL10-'Balance Sheet'!BK10)</f>
        <v>-101625.80490550073</v>
      </c>
      <c r="BN11" s="50">
        <f t="shared" si="0"/>
        <v>-97334.245759490412</v>
      </c>
      <c r="BO11" s="50">
        <f t="shared" si="0"/>
        <v>-249915.2439659948</v>
      </c>
      <c r="BP11" s="50">
        <f t="shared" si="0"/>
        <v>-483118.42611803103</v>
      </c>
      <c r="BQ11" s="50">
        <f t="shared" si="0"/>
        <v>-818544.18409373111</v>
      </c>
      <c r="BR11" s="50">
        <f t="shared" si="0"/>
        <v>-1162220.8602381649</v>
      </c>
    </row>
    <row r="12" spans="1:70" x14ac:dyDescent="0.25">
      <c r="A12" s="8" t="s">
        <v>574</v>
      </c>
      <c r="B12" s="10" t="s">
        <v>83</v>
      </c>
      <c r="E12" s="50">
        <f>'Balance Sheet'!E16-'Balance Sheet'!D16</f>
        <v>43038.927340000002</v>
      </c>
      <c r="F12" s="50">
        <f>'Balance Sheet'!F16-'Balance Sheet'!E16</f>
        <v>1066.1194399995948</v>
      </c>
      <c r="G12" s="50">
        <f>'Balance Sheet'!G16-'Balance Sheet'!F16</f>
        <v>2872.8029352732046</v>
      </c>
      <c r="H12" s="50">
        <f>'Balance Sheet'!H16-'Balance Sheet'!G16</f>
        <v>3104.4581622039914</v>
      </c>
      <c r="I12" s="50">
        <f>'Balance Sheet'!I16-'Balance Sheet'!H16</f>
        <v>2263.6837718949682</v>
      </c>
      <c r="J12" s="50">
        <f>'Balance Sheet'!J16-'Balance Sheet'!I16</f>
        <v>6372.6410848122905</v>
      </c>
      <c r="K12" s="50">
        <f>'Balance Sheet'!K16-'Balance Sheet'!J16</f>
        <v>236.52851864887634</v>
      </c>
      <c r="L12" s="50">
        <f>'Balance Sheet'!L16-'Balance Sheet'!K16</f>
        <v>4464.2757227376569</v>
      </c>
      <c r="M12" s="50">
        <f>'Balance Sheet'!M16-'Balance Sheet'!L16</f>
        <v>11725.037328879102</v>
      </c>
      <c r="N12" s="50">
        <f>'Balance Sheet'!N16-'Balance Sheet'!M16</f>
        <v>3890.492813793855</v>
      </c>
      <c r="O12" s="50">
        <f>'Balance Sheet'!O16-'Balance Sheet'!N16</f>
        <v>4899.7700951251609</v>
      </c>
      <c r="P12" s="50">
        <f>'Balance Sheet'!P16-'Balance Sheet'!O16</f>
        <v>4108.5518304226862</v>
      </c>
      <c r="Q12" s="50">
        <f>'Balance Sheet'!Q16-'Balance Sheet'!P16</f>
        <v>6324.4405148754013</v>
      </c>
      <c r="R12" s="50">
        <f>'Balance Sheet'!R16-'Balance Sheet'!Q16</f>
        <v>6158.9771101264632</v>
      </c>
      <c r="S12" s="50">
        <f>'Balance Sheet'!S16-'Balance Sheet'!R16</f>
        <v>8561.1437194944883</v>
      </c>
      <c r="T12" s="50">
        <f>'Balance Sheet'!T16-'Balance Sheet'!S16</f>
        <v>8819.7630179466505</v>
      </c>
      <c r="U12" s="50">
        <f>'Balance Sheet'!U16-'Balance Sheet'!T16</f>
        <v>6827.2083542650507</v>
      </c>
      <c r="V12" s="50">
        <f>'Balance Sheet'!V16-'Balance Sheet'!U16</f>
        <v>41976.344028913794</v>
      </c>
      <c r="W12" s="50">
        <f>'Balance Sheet'!W16-'Balance Sheet'!V16</f>
        <v>-35525.193828099727</v>
      </c>
      <c r="X12" s="50">
        <f>'Balance Sheet'!X16-'Balance Sheet'!W16</f>
        <v>3801.1730816713534</v>
      </c>
      <c r="Y12" s="50">
        <f>'Balance Sheet'!Y16-'Balance Sheet'!X16</f>
        <v>9692.6220459778851</v>
      </c>
      <c r="Z12" s="50">
        <f>'Balance Sheet'!Z16-'Balance Sheet'!Y16</f>
        <v>8941.0302692466939</v>
      </c>
      <c r="AA12" s="50">
        <f>'Balance Sheet'!AA16-'Balance Sheet'!Z16</f>
        <v>6388.7684730237816</v>
      </c>
      <c r="AB12" s="50">
        <f>'Balance Sheet'!AB16-'Balance Sheet'!AA16</f>
        <v>6535.8400524093304</v>
      </c>
      <c r="AC12" s="50">
        <f>'Balance Sheet'!AC16-'Balance Sheet'!AB16</f>
        <v>7585.9918841261242</v>
      </c>
      <c r="AD12" s="50">
        <f>'Balance Sheet'!AD16-'Balance Sheet'!AC16</f>
        <v>10941.866445935069</v>
      </c>
      <c r="AE12" s="50">
        <f>'Balance Sheet'!AE16-'Balance Sheet'!AD16</f>
        <v>10298.763368128915</v>
      </c>
      <c r="AF12" s="50">
        <f>'Balance Sheet'!AF16-'Balance Sheet'!AE16</f>
        <v>14604.499654008046</v>
      </c>
      <c r="AG12" s="50">
        <f>'Balance Sheet'!AG16-'Balance Sheet'!AF16</f>
        <v>10018.191959663905</v>
      </c>
      <c r="AH12" s="50">
        <f>'Balance Sheet'!AH16-'Balance Sheet'!AG16</f>
        <v>68871.128153120924</v>
      </c>
      <c r="AI12" s="50">
        <f>'Balance Sheet'!AI16-'Balance Sheet'!AH16</f>
        <v>-43577.076180706528</v>
      </c>
      <c r="AJ12" s="50">
        <f>'Balance Sheet'!AJ16-'Balance Sheet'!AI16</f>
        <v>12573.584724785498</v>
      </c>
      <c r="AK12" s="50">
        <f>'Balance Sheet'!AK16-'Balance Sheet'!AJ16</f>
        <v>12823.11660142825</v>
      </c>
      <c r="AL12" s="50">
        <f>'Balance Sheet'!AL16-'Balance Sheet'!AK16</f>
        <v>12171.525146534666</v>
      </c>
      <c r="AM12" s="50">
        <f>'Balance Sheet'!AM16-'Balance Sheet'!AL16</f>
        <v>12418.81602315174</v>
      </c>
      <c r="AN12" s="50">
        <f>'Balance Sheet'!AN16-'Balance Sheet'!AM16</f>
        <v>14014.994860311679</v>
      </c>
      <c r="AO12" s="50">
        <f>'Balance Sheet'!AO16-'Balance Sheet'!AN16</f>
        <v>11665.910717507591</v>
      </c>
      <c r="AP12" s="50">
        <f>'Balance Sheet'!AP16-'Balance Sheet'!AO16</f>
        <v>12604.382003214327</v>
      </c>
      <c r="AQ12" s="50">
        <f>'Balance Sheet'!AQ16-'Balance Sheet'!AP16</f>
        <v>14991.650067431969</v>
      </c>
      <c r="AR12" s="50">
        <f>'Balance Sheet'!AR16-'Balance Sheet'!AQ16</f>
        <v>13439.414661257004</v>
      </c>
      <c r="AS12" s="50">
        <f>'Balance Sheet'!AS16-'Balance Sheet'!AR16</f>
        <v>16836.068999479234</v>
      </c>
      <c r="AT12" s="50">
        <f>'Balance Sheet'!AT16-'Balance Sheet'!AS16</f>
        <v>19892.723856201628</v>
      </c>
      <c r="AU12" s="50">
        <f>'Balance Sheet'!AU16-'Balance Sheet'!AT16</f>
        <v>13497.77497904771</v>
      </c>
      <c r="AV12" s="50">
        <f>'Balance Sheet'!AV16-'Balance Sheet'!AU16</f>
        <v>18690.125213175954</v>
      </c>
      <c r="AW12" s="50">
        <f>'Balance Sheet'!AW16-'Balance Sheet'!AV16</f>
        <v>19042.497572079126</v>
      </c>
      <c r="AX12" s="50">
        <f>'Balance Sheet'!AX16-'Balance Sheet'!AW16</f>
        <v>15343.287674343097</v>
      </c>
      <c r="AY12" s="50">
        <f>'Balance Sheet'!AY16-'Balance Sheet'!AX16</f>
        <v>16481.398237025714</v>
      </c>
      <c r="AZ12" s="50">
        <f>'Balance Sheet'!AZ16-'Balance Sheet'!AY16</f>
        <v>17168.4469232962</v>
      </c>
      <c r="BA12" s="50">
        <f>'Balance Sheet'!BA16-'Balance Sheet'!AZ16</f>
        <v>14342.078264959855</v>
      </c>
      <c r="BB12" s="50">
        <f>'Balance Sheet'!BB16-'Balance Sheet'!BA16</f>
        <v>15679.693259324296</v>
      </c>
      <c r="BC12" s="50">
        <f>'Balance Sheet'!BC16-'Balance Sheet'!BB16</f>
        <v>14006.32203021762</v>
      </c>
      <c r="BD12" s="50">
        <f>'Balance Sheet'!BD16-'Balance Sheet'!BC16</f>
        <v>18182.397151511163</v>
      </c>
      <c r="BE12" s="50">
        <f>'Balance Sheet'!BE16-'Balance Sheet'!BD16</f>
        <v>15721.047364117112</v>
      </c>
      <c r="BF12" s="50">
        <f>'Balance Sheet'!BF16-'Balance Sheet'!BE16</f>
        <v>20458.636446852703</v>
      </c>
      <c r="BG12" s="50">
        <f>'Balance Sheet'!BG16-'Balance Sheet'!BF16</f>
        <v>17995.169630005024</v>
      </c>
      <c r="BH12" s="50">
        <f>'Balance Sheet'!BH16-'Balance Sheet'!BG16</f>
        <v>17330.652113405755</v>
      </c>
      <c r="BI12" s="50">
        <f>'Balance Sheet'!BI16-'Balance Sheet'!BH16</f>
        <v>19365.089066645945</v>
      </c>
      <c r="BJ12" s="50">
        <f>'Balance Sheet'!BJ16-'Balance Sheet'!BI16</f>
        <v>17798.485629291041</v>
      </c>
      <c r="BK12" s="50">
        <f>'Balance Sheet'!BK16-'Balance Sheet'!BJ16</f>
        <v>18930.846911092289</v>
      </c>
      <c r="BL12" s="50">
        <f>'Balance Sheet'!BL16-'Balance Sheet'!BK16</f>
        <v>19612.177992198151</v>
      </c>
      <c r="BN12" s="50">
        <f t="shared" si="0"/>
        <v>88043.289043791388</v>
      </c>
      <c r="BO12" s="50">
        <f t="shared" si="0"/>
        <v>78502.116839851165</v>
      </c>
      <c r="BP12" s="50">
        <f t="shared" si="0"/>
        <v>142745.40264048829</v>
      </c>
      <c r="BQ12" s="50">
        <f t="shared" si="0"/>
        <v>189653.68090405955</v>
      </c>
      <c r="BR12" s="50">
        <f t="shared" si="0"/>
        <v>209422.59585962095</v>
      </c>
    </row>
    <row r="13" spans="1:70" x14ac:dyDescent="0.25">
      <c r="A13" s="44" t="s">
        <v>575</v>
      </c>
      <c r="B13" s="10" t="s">
        <v>83</v>
      </c>
      <c r="E13" s="51">
        <f t="shared" ref="E13:AJ13" si="1">SUM(E9:E12)</f>
        <v>-57081.999999999993</v>
      </c>
      <c r="F13" s="51">
        <f t="shared" si="1"/>
        <v>-100120.73134</v>
      </c>
      <c r="G13" s="51">
        <f t="shared" si="1"/>
        <v>-122611.37165575958</v>
      </c>
      <c r="H13" s="51">
        <f t="shared" si="1"/>
        <v>-129853.26491203724</v>
      </c>
      <c r="I13" s="51">
        <f t="shared" si="1"/>
        <v>-126271.60788854233</v>
      </c>
      <c r="J13" s="51">
        <f t="shared" si="1"/>
        <v>-140383.5601023924</v>
      </c>
      <c r="K13" s="51">
        <f t="shared" si="1"/>
        <v>-139140.74365928542</v>
      </c>
      <c r="L13" s="51">
        <f t="shared" si="1"/>
        <v>-144478.7014075784</v>
      </c>
      <c r="M13" s="51">
        <f t="shared" si="1"/>
        <v>-163409.04255728779</v>
      </c>
      <c r="N13" s="51">
        <f t="shared" si="1"/>
        <v>-165731.3960875051</v>
      </c>
      <c r="O13" s="51">
        <f t="shared" si="1"/>
        <v>-166532.71299885973</v>
      </c>
      <c r="P13" s="51">
        <f t="shared" si="1"/>
        <v>-159484.93224570961</v>
      </c>
      <c r="Q13" s="51">
        <f t="shared" si="1"/>
        <v>-181911.04328430098</v>
      </c>
      <c r="R13" s="51">
        <f t="shared" si="1"/>
        <v>-180463.41939117515</v>
      </c>
      <c r="S13" s="51">
        <f t="shared" si="1"/>
        <v>-182842.37429058165</v>
      </c>
      <c r="T13" s="51">
        <f t="shared" si="1"/>
        <v>-186401.27193953167</v>
      </c>
      <c r="U13" s="51">
        <f t="shared" si="1"/>
        <v>-185055.81355598028</v>
      </c>
      <c r="V13" s="51">
        <f t="shared" si="1"/>
        <v>-185833.24145763734</v>
      </c>
      <c r="W13" s="51">
        <f t="shared" si="1"/>
        <v>-206139.34179258085</v>
      </c>
      <c r="X13" s="51">
        <f t="shared" si="1"/>
        <v>-147748.31490990816</v>
      </c>
      <c r="Y13" s="51">
        <f t="shared" si="1"/>
        <v>-179500.06076920824</v>
      </c>
      <c r="Z13" s="51">
        <f t="shared" si="1"/>
        <v>-201352.64581733764</v>
      </c>
      <c r="AA13" s="51">
        <f t="shared" si="1"/>
        <v>-187268.69848894712</v>
      </c>
      <c r="AB13" s="51">
        <f t="shared" si="1"/>
        <v>-169442.40022338013</v>
      </c>
      <c r="AC13" s="51">
        <f t="shared" si="1"/>
        <v>-161083.91615815731</v>
      </c>
      <c r="AD13" s="51">
        <f t="shared" si="1"/>
        <v>-152056.16520157972</v>
      </c>
      <c r="AE13" s="51">
        <f t="shared" si="1"/>
        <v>-142558.79631453345</v>
      </c>
      <c r="AF13" s="51">
        <f t="shared" si="1"/>
        <v>-161072.40441713305</v>
      </c>
      <c r="AG13" s="51">
        <f t="shared" si="1"/>
        <v>-142535.00367398982</v>
      </c>
      <c r="AH13" s="51">
        <f t="shared" si="1"/>
        <v>-163104.20558811486</v>
      </c>
      <c r="AI13" s="51">
        <f t="shared" si="1"/>
        <v>-208616.56451128176</v>
      </c>
      <c r="AJ13" s="51">
        <f t="shared" si="1"/>
        <v>-149154.49599969483</v>
      </c>
      <c r="AK13" s="51">
        <f t="shared" ref="AK13:BP13" si="2">SUM(AK9:AK12)</f>
        <v>-142716.28704446333</v>
      </c>
      <c r="AL13" s="51">
        <f t="shared" si="2"/>
        <v>-122800.19617621519</v>
      </c>
      <c r="AM13" s="51">
        <f t="shared" si="2"/>
        <v>-103366.05356940057</v>
      </c>
      <c r="AN13" s="51">
        <f t="shared" si="2"/>
        <v>-126696.16114628169</v>
      </c>
      <c r="AO13" s="51">
        <f t="shared" si="2"/>
        <v>-109084.73068061459</v>
      </c>
      <c r="AP13" s="51">
        <f t="shared" si="2"/>
        <v>-66994.616441325168</v>
      </c>
      <c r="AQ13" s="51">
        <f t="shared" si="2"/>
        <v>-65002.249584520585</v>
      </c>
      <c r="AR13" s="51">
        <f t="shared" si="2"/>
        <v>-32537.157727005717</v>
      </c>
      <c r="AS13" s="51">
        <f t="shared" si="2"/>
        <v>-15000.485083090665</v>
      </c>
      <c r="AT13" s="51">
        <f t="shared" si="2"/>
        <v>-32647.807956957375</v>
      </c>
      <c r="AU13" s="51">
        <f t="shared" si="2"/>
        <v>10849.196328023798</v>
      </c>
      <c r="AV13" s="51">
        <f t="shared" si="2"/>
        <v>27677.214929466078</v>
      </c>
      <c r="AW13" s="51">
        <f t="shared" si="2"/>
        <v>36996.319536782859</v>
      </c>
      <c r="AX13" s="51">
        <f t="shared" si="2"/>
        <v>80627.686597745516</v>
      </c>
      <c r="AY13" s="51">
        <f t="shared" si="2"/>
        <v>112345.37562863354</v>
      </c>
      <c r="AZ13" s="51">
        <f t="shared" si="2"/>
        <v>78948.84152727091</v>
      </c>
      <c r="BA13" s="51">
        <f t="shared" si="2"/>
        <v>142421.57578905718</v>
      </c>
      <c r="BB13" s="51">
        <f t="shared" si="2"/>
        <v>244725.56362589297</v>
      </c>
      <c r="BC13" s="51">
        <f t="shared" si="2"/>
        <v>298558.52359805512</v>
      </c>
      <c r="BD13" s="51">
        <f t="shared" si="2"/>
        <v>331545.72340058535</v>
      </c>
      <c r="BE13" s="51">
        <f t="shared" si="2"/>
        <v>398610.65921542095</v>
      </c>
      <c r="BF13" s="51">
        <f t="shared" si="2"/>
        <v>407185.03024014691</v>
      </c>
      <c r="BG13" s="51">
        <f t="shared" si="2"/>
        <v>451357.25959477737</v>
      </c>
      <c r="BH13" s="51">
        <f t="shared" si="2"/>
        <v>512433.30386853148</v>
      </c>
      <c r="BI13" s="51">
        <f t="shared" si="2"/>
        <v>550338.55163132178</v>
      </c>
      <c r="BJ13" s="51">
        <f t="shared" si="2"/>
        <v>614139.12503558188</v>
      </c>
      <c r="BK13" s="51">
        <f t="shared" si="2"/>
        <v>669160.47010845086</v>
      </c>
      <c r="BL13" s="51">
        <f t="shared" si="2"/>
        <v>376651.74513448775</v>
      </c>
      <c r="BN13" s="51">
        <f t="shared" si="0"/>
        <v>-1615100.0648549579</v>
      </c>
      <c r="BO13" s="51">
        <f t="shared" si="0"/>
        <v>-2193958.6259205691</v>
      </c>
      <c r="BP13" s="51">
        <f t="shared" si="0"/>
        <v>-1775760.2498008455</v>
      </c>
      <c r="BQ13" s="51">
        <f t="shared" si="0"/>
        <v>26177.587074408599</v>
      </c>
      <c r="BR13" s="51">
        <f t="shared" si="0"/>
        <v>4997127.5312423091</v>
      </c>
    </row>
    <row r="14" spans="1:70" x14ac:dyDescent="0.25">
      <c r="A14" s="19" t="s">
        <v>576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N14" s="20"/>
      <c r="BO14" s="20"/>
      <c r="BP14" s="20"/>
      <c r="BQ14" s="20"/>
      <c r="BR14" s="20"/>
    </row>
    <row r="15" spans="1:70" x14ac:dyDescent="0.25">
      <c r="A15" s="8" t="s">
        <v>566</v>
      </c>
      <c r="B15" s="10" t="s">
        <v>83</v>
      </c>
      <c r="E15" s="58">
        <f>-Monthly!E75</f>
        <v>0</v>
      </c>
      <c r="F15" s="58">
        <f>-Monthly!F75</f>
        <v>0</v>
      </c>
      <c r="G15" s="58">
        <f>-Monthly!G75</f>
        <v>-5000</v>
      </c>
      <c r="H15" s="58">
        <f>-Monthly!H75</f>
        <v>-2500</v>
      </c>
      <c r="I15" s="58">
        <f>-Monthly!I75</f>
        <v>0</v>
      </c>
      <c r="J15" s="58">
        <f>-Monthly!J75</f>
        <v>-5000</v>
      </c>
      <c r="K15" s="58">
        <f>-Monthly!K75</f>
        <v>0</v>
      </c>
      <c r="L15" s="58">
        <f>-Monthly!L75</f>
        <v>-2500</v>
      </c>
      <c r="M15" s="58">
        <f>-Monthly!M75</f>
        <v>-5000</v>
      </c>
      <c r="N15" s="58">
        <f>-Monthly!N75</f>
        <v>0</v>
      </c>
      <c r="O15" s="58">
        <f>-Monthly!O75</f>
        <v>-2500</v>
      </c>
      <c r="P15" s="58">
        <f>-Monthly!P75</f>
        <v>0</v>
      </c>
      <c r="Q15" s="58">
        <f>-Monthly!Q75</f>
        <v>-5000</v>
      </c>
      <c r="R15" s="58">
        <f>-Monthly!R75</f>
        <v>-2500</v>
      </c>
      <c r="S15" s="58">
        <f>-Monthly!S75</f>
        <v>-2500</v>
      </c>
      <c r="T15" s="58">
        <f>-Monthly!T75</f>
        <v>-2500</v>
      </c>
      <c r="U15" s="58">
        <f>-Monthly!U75</f>
        <v>-2500</v>
      </c>
      <c r="V15" s="58">
        <f>-Monthly!V75</f>
        <v>-2500</v>
      </c>
      <c r="W15" s="58">
        <f>-Monthly!W75</f>
        <v>0</v>
      </c>
      <c r="X15" s="58">
        <f>-Monthly!X75</f>
        <v>0</v>
      </c>
      <c r="Y15" s="58">
        <f>-Monthly!Y75</f>
        <v>-10000</v>
      </c>
      <c r="Z15" s="58">
        <f>-Monthly!Z75</f>
        <v>-7500</v>
      </c>
      <c r="AA15" s="58">
        <f>-Monthly!AA75</f>
        <v>0</v>
      </c>
      <c r="AB15" s="58">
        <f>-Monthly!AB75</f>
        <v>0</v>
      </c>
      <c r="AC15" s="58">
        <f>-Monthly!AC75</f>
        <v>0</v>
      </c>
      <c r="AD15" s="58">
        <f>-Monthly!AD75</f>
        <v>-5000</v>
      </c>
      <c r="AE15" s="58">
        <f>-Monthly!AE75</f>
        <v>-2500</v>
      </c>
      <c r="AF15" s="58">
        <f>-Monthly!AF75</f>
        <v>-7500</v>
      </c>
      <c r="AG15" s="58">
        <f>-Monthly!AG75</f>
        <v>0</v>
      </c>
      <c r="AH15" s="58">
        <f>-Monthly!AH75</f>
        <v>-10000</v>
      </c>
      <c r="AI15" s="58">
        <f>-Monthly!AI75</f>
        <v>-2500</v>
      </c>
      <c r="AJ15" s="58">
        <f>-Monthly!AJ75</f>
        <v>-5000</v>
      </c>
      <c r="AK15" s="58">
        <f>-Monthly!AK75</f>
        <v>-5000</v>
      </c>
      <c r="AL15" s="58">
        <f>-Monthly!AL75</f>
        <v>-2500</v>
      </c>
      <c r="AM15" s="58">
        <f>-Monthly!AM75</f>
        <v>-2500</v>
      </c>
      <c r="AN15" s="58">
        <f>-Monthly!AN75</f>
        <v>-12500</v>
      </c>
      <c r="AO15" s="58">
        <f>-Monthly!AO75</f>
        <v>0</v>
      </c>
      <c r="AP15" s="58">
        <f>-Monthly!AP75</f>
        <v>-7500</v>
      </c>
      <c r="AQ15" s="58">
        <f>-Monthly!AQ75</f>
        <v>-7500</v>
      </c>
      <c r="AR15" s="58">
        <f>-Monthly!AR75</f>
        <v>-2500</v>
      </c>
      <c r="AS15" s="58">
        <f>-Monthly!AS75</f>
        <v>-5000</v>
      </c>
      <c r="AT15" s="58">
        <f>-Monthly!AT75</f>
        <v>-12500</v>
      </c>
      <c r="AU15" s="58">
        <f>-Monthly!AU75</f>
        <v>0</v>
      </c>
      <c r="AV15" s="58">
        <f>-Monthly!AV75</f>
        <v>-7500</v>
      </c>
      <c r="AW15" s="58">
        <f>-Monthly!AW75</f>
        <v>-7500</v>
      </c>
      <c r="AX15" s="58">
        <f>-Monthly!AX75</f>
        <v>-2500</v>
      </c>
      <c r="AY15" s="58">
        <f>-Monthly!AY75</f>
        <v>-5000</v>
      </c>
      <c r="AZ15" s="58">
        <f>-Monthly!AZ75</f>
        <v>-12500</v>
      </c>
      <c r="BA15" s="58">
        <f>-Monthly!BA75</f>
        <v>0</v>
      </c>
      <c r="BB15" s="58">
        <f>-Monthly!BB75</f>
        <v>-7500</v>
      </c>
      <c r="BC15" s="58">
        <f>-Monthly!BC75</f>
        <v>-2500</v>
      </c>
      <c r="BD15" s="58">
        <f>-Monthly!BD75</f>
        <v>-7500</v>
      </c>
      <c r="BE15" s="58">
        <f>-Monthly!BE75</f>
        <v>0</v>
      </c>
      <c r="BF15" s="58">
        <f>-Monthly!BF75</f>
        <v>-12500</v>
      </c>
      <c r="BG15" s="58">
        <f>-Monthly!BG75</f>
        <v>-5000</v>
      </c>
      <c r="BH15" s="58">
        <f>-Monthly!BH75</f>
        <v>-2500</v>
      </c>
      <c r="BI15" s="58">
        <f>-Monthly!BI75</f>
        <v>-7500</v>
      </c>
      <c r="BJ15" s="58">
        <f>-Monthly!BJ75</f>
        <v>-2500</v>
      </c>
      <c r="BK15" s="58">
        <f>-Monthly!BK75</f>
        <v>-5000</v>
      </c>
      <c r="BL15" s="58">
        <f>-Monthly!BL75</f>
        <v>-12500</v>
      </c>
      <c r="BN15" s="50">
        <f t="shared" ref="BN15:BR16" si="3">SUMIFS($E15:$BL15,$E$6:$BL$6,BN$4)</f>
        <v>-22500</v>
      </c>
      <c r="BO15" s="50">
        <f t="shared" si="3"/>
        <v>-35000</v>
      </c>
      <c r="BP15" s="50">
        <f t="shared" si="3"/>
        <v>-55000</v>
      </c>
      <c r="BQ15" s="50">
        <f t="shared" si="3"/>
        <v>-70000</v>
      </c>
      <c r="BR15" s="50">
        <f t="shared" si="3"/>
        <v>-65000</v>
      </c>
    </row>
    <row r="16" spans="1:70" x14ac:dyDescent="0.25">
      <c r="A16" s="44" t="s">
        <v>577</v>
      </c>
      <c r="B16" s="10" t="s">
        <v>83</v>
      </c>
      <c r="E16" s="51">
        <f t="shared" ref="E16:AJ16" si="4">E15</f>
        <v>0</v>
      </c>
      <c r="F16" s="51">
        <f t="shared" si="4"/>
        <v>0</v>
      </c>
      <c r="G16" s="51">
        <f t="shared" si="4"/>
        <v>-5000</v>
      </c>
      <c r="H16" s="51">
        <f t="shared" si="4"/>
        <v>-2500</v>
      </c>
      <c r="I16" s="51">
        <f t="shared" si="4"/>
        <v>0</v>
      </c>
      <c r="J16" s="51">
        <f t="shared" si="4"/>
        <v>-5000</v>
      </c>
      <c r="K16" s="51">
        <f t="shared" si="4"/>
        <v>0</v>
      </c>
      <c r="L16" s="51">
        <f t="shared" si="4"/>
        <v>-2500</v>
      </c>
      <c r="M16" s="51">
        <f t="shared" si="4"/>
        <v>-5000</v>
      </c>
      <c r="N16" s="51">
        <f t="shared" si="4"/>
        <v>0</v>
      </c>
      <c r="O16" s="51">
        <f t="shared" si="4"/>
        <v>-2500</v>
      </c>
      <c r="P16" s="51">
        <f t="shared" si="4"/>
        <v>0</v>
      </c>
      <c r="Q16" s="51">
        <f t="shared" si="4"/>
        <v>-5000</v>
      </c>
      <c r="R16" s="51">
        <f t="shared" si="4"/>
        <v>-2500</v>
      </c>
      <c r="S16" s="51">
        <f t="shared" si="4"/>
        <v>-2500</v>
      </c>
      <c r="T16" s="51">
        <f t="shared" si="4"/>
        <v>-2500</v>
      </c>
      <c r="U16" s="51">
        <f t="shared" si="4"/>
        <v>-2500</v>
      </c>
      <c r="V16" s="51">
        <f t="shared" si="4"/>
        <v>-2500</v>
      </c>
      <c r="W16" s="51">
        <f t="shared" si="4"/>
        <v>0</v>
      </c>
      <c r="X16" s="51">
        <f t="shared" si="4"/>
        <v>0</v>
      </c>
      <c r="Y16" s="51">
        <f t="shared" si="4"/>
        <v>-10000</v>
      </c>
      <c r="Z16" s="51">
        <f t="shared" si="4"/>
        <v>-7500</v>
      </c>
      <c r="AA16" s="51">
        <f t="shared" si="4"/>
        <v>0</v>
      </c>
      <c r="AB16" s="51">
        <f t="shared" si="4"/>
        <v>0</v>
      </c>
      <c r="AC16" s="51">
        <f t="shared" si="4"/>
        <v>0</v>
      </c>
      <c r="AD16" s="51">
        <f t="shared" si="4"/>
        <v>-5000</v>
      </c>
      <c r="AE16" s="51">
        <f t="shared" si="4"/>
        <v>-2500</v>
      </c>
      <c r="AF16" s="51">
        <f t="shared" si="4"/>
        <v>-7500</v>
      </c>
      <c r="AG16" s="51">
        <f t="shared" si="4"/>
        <v>0</v>
      </c>
      <c r="AH16" s="51">
        <f t="shared" si="4"/>
        <v>-10000</v>
      </c>
      <c r="AI16" s="51">
        <f t="shared" si="4"/>
        <v>-2500</v>
      </c>
      <c r="AJ16" s="51">
        <f t="shared" si="4"/>
        <v>-5000</v>
      </c>
      <c r="AK16" s="51">
        <f t="shared" ref="AK16:BP16" si="5">AK15</f>
        <v>-5000</v>
      </c>
      <c r="AL16" s="51">
        <f t="shared" si="5"/>
        <v>-2500</v>
      </c>
      <c r="AM16" s="51">
        <f t="shared" si="5"/>
        <v>-2500</v>
      </c>
      <c r="AN16" s="51">
        <f t="shared" si="5"/>
        <v>-12500</v>
      </c>
      <c r="AO16" s="51">
        <f t="shared" si="5"/>
        <v>0</v>
      </c>
      <c r="AP16" s="51">
        <f t="shared" si="5"/>
        <v>-7500</v>
      </c>
      <c r="AQ16" s="51">
        <f t="shared" si="5"/>
        <v>-7500</v>
      </c>
      <c r="AR16" s="51">
        <f t="shared" si="5"/>
        <v>-2500</v>
      </c>
      <c r="AS16" s="51">
        <f t="shared" si="5"/>
        <v>-5000</v>
      </c>
      <c r="AT16" s="51">
        <f t="shared" si="5"/>
        <v>-12500</v>
      </c>
      <c r="AU16" s="51">
        <f t="shared" si="5"/>
        <v>0</v>
      </c>
      <c r="AV16" s="51">
        <f t="shared" si="5"/>
        <v>-7500</v>
      </c>
      <c r="AW16" s="51">
        <f t="shared" si="5"/>
        <v>-7500</v>
      </c>
      <c r="AX16" s="51">
        <f t="shared" si="5"/>
        <v>-2500</v>
      </c>
      <c r="AY16" s="51">
        <f t="shared" si="5"/>
        <v>-5000</v>
      </c>
      <c r="AZ16" s="51">
        <f t="shared" si="5"/>
        <v>-12500</v>
      </c>
      <c r="BA16" s="51">
        <f t="shared" si="5"/>
        <v>0</v>
      </c>
      <c r="BB16" s="51">
        <f t="shared" si="5"/>
        <v>-7500</v>
      </c>
      <c r="BC16" s="51">
        <f t="shared" si="5"/>
        <v>-2500</v>
      </c>
      <c r="BD16" s="51">
        <f t="shared" si="5"/>
        <v>-7500</v>
      </c>
      <c r="BE16" s="51">
        <f t="shared" si="5"/>
        <v>0</v>
      </c>
      <c r="BF16" s="51">
        <f t="shared" si="5"/>
        <v>-12500</v>
      </c>
      <c r="BG16" s="51">
        <f t="shared" si="5"/>
        <v>-5000</v>
      </c>
      <c r="BH16" s="51">
        <f t="shared" si="5"/>
        <v>-2500</v>
      </c>
      <c r="BI16" s="51">
        <f t="shared" si="5"/>
        <v>-7500</v>
      </c>
      <c r="BJ16" s="51">
        <f t="shared" si="5"/>
        <v>-2500</v>
      </c>
      <c r="BK16" s="51">
        <f t="shared" si="5"/>
        <v>-5000</v>
      </c>
      <c r="BL16" s="51">
        <f t="shared" si="5"/>
        <v>-12500</v>
      </c>
      <c r="BN16" s="51">
        <f t="shared" si="3"/>
        <v>-22500</v>
      </c>
      <c r="BO16" s="51">
        <f t="shared" si="3"/>
        <v>-35000</v>
      </c>
      <c r="BP16" s="51">
        <f t="shared" si="3"/>
        <v>-55000</v>
      </c>
      <c r="BQ16" s="51">
        <f t="shared" si="3"/>
        <v>-70000</v>
      </c>
      <c r="BR16" s="51">
        <f t="shared" si="3"/>
        <v>-65000</v>
      </c>
    </row>
    <row r="17" spans="1:70" x14ac:dyDescent="0.25">
      <c r="A17" s="19" t="s">
        <v>578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N17" s="20"/>
      <c r="BO17" s="20"/>
      <c r="BP17" s="20"/>
      <c r="BQ17" s="20"/>
      <c r="BR17" s="20"/>
    </row>
    <row r="18" spans="1:70" x14ac:dyDescent="0.25">
      <c r="A18" s="8" t="s">
        <v>579</v>
      </c>
      <c r="B18" s="10" t="s">
        <v>83</v>
      </c>
      <c r="E18" s="58">
        <f>Monthly!E88</f>
        <v>3500000</v>
      </c>
      <c r="F18" s="58">
        <f>Monthly!F88</f>
        <v>0</v>
      </c>
      <c r="G18" s="58">
        <f>Monthly!G88</f>
        <v>0</v>
      </c>
      <c r="H18" s="58">
        <f>Monthly!H88</f>
        <v>0</v>
      </c>
      <c r="I18" s="58">
        <f>Monthly!I88</f>
        <v>0</v>
      </c>
      <c r="J18" s="58">
        <f>Monthly!J88</f>
        <v>0</v>
      </c>
      <c r="K18" s="58">
        <f>Monthly!K88</f>
        <v>0</v>
      </c>
      <c r="L18" s="58">
        <f>Monthly!L88</f>
        <v>0</v>
      </c>
      <c r="M18" s="58">
        <f>Monthly!M88</f>
        <v>0</v>
      </c>
      <c r="N18" s="58">
        <f>Monthly!N88</f>
        <v>0</v>
      </c>
      <c r="O18" s="58">
        <f>Monthly!O88</f>
        <v>0</v>
      </c>
      <c r="P18" s="58">
        <f>Monthly!P88</f>
        <v>0</v>
      </c>
      <c r="Q18" s="58">
        <f>Monthly!Q88</f>
        <v>0</v>
      </c>
      <c r="R18" s="58">
        <f>Monthly!R88</f>
        <v>0</v>
      </c>
      <c r="S18" s="58">
        <f>Monthly!S88</f>
        <v>0</v>
      </c>
      <c r="T18" s="58">
        <f>Monthly!T88</f>
        <v>0</v>
      </c>
      <c r="U18" s="58">
        <f>Monthly!U88</f>
        <v>0</v>
      </c>
      <c r="V18" s="58">
        <f>Monthly!V88</f>
        <v>0</v>
      </c>
      <c r="W18" s="58">
        <f>Monthly!W88</f>
        <v>0</v>
      </c>
      <c r="X18" s="58">
        <f>Monthly!X88</f>
        <v>0</v>
      </c>
      <c r="Y18" s="58">
        <f>Monthly!Y88</f>
        <v>10000000</v>
      </c>
      <c r="Z18" s="58">
        <f>Monthly!Z88</f>
        <v>0</v>
      </c>
      <c r="AA18" s="58">
        <f>Monthly!AA88</f>
        <v>0</v>
      </c>
      <c r="AB18" s="58">
        <f>Monthly!AB88</f>
        <v>0</v>
      </c>
      <c r="AC18" s="58">
        <f>Monthly!AC88</f>
        <v>0</v>
      </c>
      <c r="AD18" s="58">
        <f>Monthly!AD88</f>
        <v>0</v>
      </c>
      <c r="AE18" s="58">
        <f>Monthly!AE88</f>
        <v>0</v>
      </c>
      <c r="AF18" s="58">
        <f>Monthly!AF88</f>
        <v>0</v>
      </c>
      <c r="AG18" s="58">
        <f>Monthly!AG88</f>
        <v>0</v>
      </c>
      <c r="AH18" s="58">
        <f>Monthly!AH88</f>
        <v>0</v>
      </c>
      <c r="AI18" s="58">
        <f>Monthly!AI88</f>
        <v>0</v>
      </c>
      <c r="AJ18" s="58">
        <f>Monthly!AJ88</f>
        <v>0</v>
      </c>
      <c r="AK18" s="58">
        <f>Monthly!AK88</f>
        <v>0</v>
      </c>
      <c r="AL18" s="58">
        <f>Monthly!AL88</f>
        <v>0</v>
      </c>
      <c r="AM18" s="58">
        <f>Monthly!AM88</f>
        <v>0</v>
      </c>
      <c r="AN18" s="58">
        <f>Monthly!AN88</f>
        <v>0</v>
      </c>
      <c r="AO18" s="58">
        <f>Monthly!AO88</f>
        <v>0</v>
      </c>
      <c r="AP18" s="58">
        <f>Monthly!AP88</f>
        <v>0</v>
      </c>
      <c r="AQ18" s="58">
        <f>Monthly!AQ88</f>
        <v>0</v>
      </c>
      <c r="AR18" s="58">
        <f>Monthly!AR88</f>
        <v>0</v>
      </c>
      <c r="AS18" s="58">
        <f>Monthly!AS88</f>
        <v>0</v>
      </c>
      <c r="AT18" s="58">
        <f>Monthly!AT88</f>
        <v>0</v>
      </c>
      <c r="AU18" s="58">
        <f>Monthly!AU88</f>
        <v>0</v>
      </c>
      <c r="AV18" s="58">
        <f>Monthly!AV88</f>
        <v>0</v>
      </c>
      <c r="AW18" s="58">
        <f>Monthly!AW88</f>
        <v>0</v>
      </c>
      <c r="AX18" s="58">
        <f>Monthly!AX88</f>
        <v>0</v>
      </c>
      <c r="AY18" s="58">
        <f>Monthly!AY88</f>
        <v>0</v>
      </c>
      <c r="AZ18" s="58">
        <f>Monthly!AZ88</f>
        <v>0</v>
      </c>
      <c r="BA18" s="58">
        <f>Monthly!BA88</f>
        <v>0</v>
      </c>
      <c r="BB18" s="58">
        <f>Monthly!BB88</f>
        <v>0</v>
      </c>
      <c r="BC18" s="58">
        <f>Monthly!BC88</f>
        <v>0</v>
      </c>
      <c r="BD18" s="58">
        <f>Monthly!BD88</f>
        <v>0</v>
      </c>
      <c r="BE18" s="58">
        <f>Monthly!BE88</f>
        <v>0</v>
      </c>
      <c r="BF18" s="58">
        <f>Monthly!BF88</f>
        <v>0</v>
      </c>
      <c r="BG18" s="58">
        <f>Monthly!BG88</f>
        <v>0</v>
      </c>
      <c r="BH18" s="58">
        <f>Monthly!BH88</f>
        <v>0</v>
      </c>
      <c r="BI18" s="58">
        <f>Monthly!BI88</f>
        <v>0</v>
      </c>
      <c r="BJ18" s="58">
        <f>Monthly!BJ88</f>
        <v>0</v>
      </c>
      <c r="BK18" s="58">
        <f>Monthly!BK88</f>
        <v>0</v>
      </c>
      <c r="BL18" s="58">
        <f>Monthly!BL88</f>
        <v>0</v>
      </c>
      <c r="BN18" s="50">
        <f t="shared" ref="BN18:BR19" si="6">SUMIFS($E18:$BL18,$E$6:$BL$6,BN$4)</f>
        <v>3500000</v>
      </c>
      <c r="BO18" s="50">
        <f t="shared" si="6"/>
        <v>10000000</v>
      </c>
      <c r="BP18" s="50">
        <f t="shared" si="6"/>
        <v>0</v>
      </c>
      <c r="BQ18" s="50">
        <f t="shared" si="6"/>
        <v>0</v>
      </c>
      <c r="BR18" s="50">
        <f t="shared" si="6"/>
        <v>0</v>
      </c>
    </row>
    <row r="19" spans="1:70" x14ac:dyDescent="0.25">
      <c r="A19" s="44" t="s">
        <v>580</v>
      </c>
      <c r="B19" s="10" t="s">
        <v>83</v>
      </c>
      <c r="E19" s="51">
        <f t="shared" ref="E19:AJ19" si="7">E18</f>
        <v>3500000</v>
      </c>
      <c r="F19" s="51">
        <f t="shared" si="7"/>
        <v>0</v>
      </c>
      <c r="G19" s="51">
        <f t="shared" si="7"/>
        <v>0</v>
      </c>
      <c r="H19" s="51">
        <f t="shared" si="7"/>
        <v>0</v>
      </c>
      <c r="I19" s="51">
        <f t="shared" si="7"/>
        <v>0</v>
      </c>
      <c r="J19" s="51">
        <f t="shared" si="7"/>
        <v>0</v>
      </c>
      <c r="K19" s="51">
        <f t="shared" si="7"/>
        <v>0</v>
      </c>
      <c r="L19" s="51">
        <f t="shared" si="7"/>
        <v>0</v>
      </c>
      <c r="M19" s="51">
        <f t="shared" si="7"/>
        <v>0</v>
      </c>
      <c r="N19" s="51">
        <f t="shared" si="7"/>
        <v>0</v>
      </c>
      <c r="O19" s="51">
        <f t="shared" si="7"/>
        <v>0</v>
      </c>
      <c r="P19" s="51">
        <f t="shared" si="7"/>
        <v>0</v>
      </c>
      <c r="Q19" s="51">
        <f t="shared" si="7"/>
        <v>0</v>
      </c>
      <c r="R19" s="51">
        <f t="shared" si="7"/>
        <v>0</v>
      </c>
      <c r="S19" s="51">
        <f t="shared" si="7"/>
        <v>0</v>
      </c>
      <c r="T19" s="51">
        <f t="shared" si="7"/>
        <v>0</v>
      </c>
      <c r="U19" s="51">
        <f t="shared" si="7"/>
        <v>0</v>
      </c>
      <c r="V19" s="51">
        <f t="shared" si="7"/>
        <v>0</v>
      </c>
      <c r="W19" s="51">
        <f t="shared" si="7"/>
        <v>0</v>
      </c>
      <c r="X19" s="51">
        <f t="shared" si="7"/>
        <v>0</v>
      </c>
      <c r="Y19" s="51">
        <f t="shared" si="7"/>
        <v>10000000</v>
      </c>
      <c r="Z19" s="51">
        <f t="shared" si="7"/>
        <v>0</v>
      </c>
      <c r="AA19" s="51">
        <f t="shared" si="7"/>
        <v>0</v>
      </c>
      <c r="AB19" s="51">
        <f t="shared" si="7"/>
        <v>0</v>
      </c>
      <c r="AC19" s="51">
        <f t="shared" si="7"/>
        <v>0</v>
      </c>
      <c r="AD19" s="51">
        <f t="shared" si="7"/>
        <v>0</v>
      </c>
      <c r="AE19" s="51">
        <f t="shared" si="7"/>
        <v>0</v>
      </c>
      <c r="AF19" s="51">
        <f t="shared" si="7"/>
        <v>0</v>
      </c>
      <c r="AG19" s="51">
        <f t="shared" si="7"/>
        <v>0</v>
      </c>
      <c r="AH19" s="51">
        <f t="shared" si="7"/>
        <v>0</v>
      </c>
      <c r="AI19" s="51">
        <f t="shared" si="7"/>
        <v>0</v>
      </c>
      <c r="AJ19" s="51">
        <f t="shared" si="7"/>
        <v>0</v>
      </c>
      <c r="AK19" s="51">
        <f t="shared" ref="AK19:BP19" si="8">AK18</f>
        <v>0</v>
      </c>
      <c r="AL19" s="51">
        <f t="shared" si="8"/>
        <v>0</v>
      </c>
      <c r="AM19" s="51">
        <f t="shared" si="8"/>
        <v>0</v>
      </c>
      <c r="AN19" s="51">
        <f t="shared" si="8"/>
        <v>0</v>
      </c>
      <c r="AO19" s="51">
        <f t="shared" si="8"/>
        <v>0</v>
      </c>
      <c r="AP19" s="51">
        <f t="shared" si="8"/>
        <v>0</v>
      </c>
      <c r="AQ19" s="51">
        <f t="shared" si="8"/>
        <v>0</v>
      </c>
      <c r="AR19" s="51">
        <f t="shared" si="8"/>
        <v>0</v>
      </c>
      <c r="AS19" s="51">
        <f t="shared" si="8"/>
        <v>0</v>
      </c>
      <c r="AT19" s="51">
        <f t="shared" si="8"/>
        <v>0</v>
      </c>
      <c r="AU19" s="51">
        <f t="shared" si="8"/>
        <v>0</v>
      </c>
      <c r="AV19" s="51">
        <f t="shared" si="8"/>
        <v>0</v>
      </c>
      <c r="AW19" s="51">
        <f t="shared" si="8"/>
        <v>0</v>
      </c>
      <c r="AX19" s="51">
        <f t="shared" si="8"/>
        <v>0</v>
      </c>
      <c r="AY19" s="51">
        <f t="shared" si="8"/>
        <v>0</v>
      </c>
      <c r="AZ19" s="51">
        <f t="shared" si="8"/>
        <v>0</v>
      </c>
      <c r="BA19" s="51">
        <f t="shared" si="8"/>
        <v>0</v>
      </c>
      <c r="BB19" s="51">
        <f t="shared" si="8"/>
        <v>0</v>
      </c>
      <c r="BC19" s="51">
        <f t="shared" si="8"/>
        <v>0</v>
      </c>
      <c r="BD19" s="51">
        <f t="shared" si="8"/>
        <v>0</v>
      </c>
      <c r="BE19" s="51">
        <f t="shared" si="8"/>
        <v>0</v>
      </c>
      <c r="BF19" s="51">
        <f t="shared" si="8"/>
        <v>0</v>
      </c>
      <c r="BG19" s="51">
        <f t="shared" si="8"/>
        <v>0</v>
      </c>
      <c r="BH19" s="51">
        <f t="shared" si="8"/>
        <v>0</v>
      </c>
      <c r="BI19" s="51">
        <f t="shared" si="8"/>
        <v>0</v>
      </c>
      <c r="BJ19" s="51">
        <f t="shared" si="8"/>
        <v>0</v>
      </c>
      <c r="BK19" s="51">
        <f t="shared" si="8"/>
        <v>0</v>
      </c>
      <c r="BL19" s="51">
        <f t="shared" si="8"/>
        <v>0</v>
      </c>
      <c r="BN19" s="51">
        <f t="shared" si="6"/>
        <v>3500000</v>
      </c>
      <c r="BO19" s="51">
        <f t="shared" si="6"/>
        <v>10000000</v>
      </c>
      <c r="BP19" s="51">
        <f t="shared" si="6"/>
        <v>0</v>
      </c>
      <c r="BQ19" s="51">
        <f t="shared" si="6"/>
        <v>0</v>
      </c>
      <c r="BR19" s="51">
        <f t="shared" si="6"/>
        <v>0</v>
      </c>
    </row>
    <row r="20" spans="1:70" x14ac:dyDescent="0.25">
      <c r="A20" s="19" t="s">
        <v>581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N20" s="20"/>
      <c r="BO20" s="20"/>
      <c r="BP20" s="20"/>
      <c r="BQ20" s="20"/>
      <c r="BR20" s="20"/>
    </row>
    <row r="21" spans="1:70" x14ac:dyDescent="0.25">
      <c r="A21" s="44" t="s">
        <v>582</v>
      </c>
      <c r="B21" s="10" t="s">
        <v>83</v>
      </c>
      <c r="E21" s="51">
        <f t="shared" ref="E21:AJ21" si="9">E13+E16+E19</f>
        <v>3442918</v>
      </c>
      <c r="F21" s="51">
        <f t="shared" si="9"/>
        <v>-100120.73134</v>
      </c>
      <c r="G21" s="51">
        <f t="shared" si="9"/>
        <v>-127611.37165575958</v>
      </c>
      <c r="H21" s="51">
        <f t="shared" si="9"/>
        <v>-132353.26491203724</v>
      </c>
      <c r="I21" s="51">
        <f t="shared" si="9"/>
        <v>-126271.60788854233</v>
      </c>
      <c r="J21" s="51">
        <f t="shared" si="9"/>
        <v>-145383.5601023924</v>
      </c>
      <c r="K21" s="51">
        <f t="shared" si="9"/>
        <v>-139140.74365928542</v>
      </c>
      <c r="L21" s="51">
        <f t="shared" si="9"/>
        <v>-146978.7014075784</v>
      </c>
      <c r="M21" s="51">
        <f t="shared" si="9"/>
        <v>-168409.04255728779</v>
      </c>
      <c r="N21" s="51">
        <f t="shared" si="9"/>
        <v>-165731.3960875051</v>
      </c>
      <c r="O21" s="51">
        <f t="shared" si="9"/>
        <v>-169032.71299885973</v>
      </c>
      <c r="P21" s="51">
        <f t="shared" si="9"/>
        <v>-159484.93224570961</v>
      </c>
      <c r="Q21" s="51">
        <f t="shared" si="9"/>
        <v>-186911.04328430098</v>
      </c>
      <c r="R21" s="51">
        <f t="shared" si="9"/>
        <v>-182963.41939117515</v>
      </c>
      <c r="S21" s="51">
        <f t="shared" si="9"/>
        <v>-185342.37429058165</v>
      </c>
      <c r="T21" s="51">
        <f t="shared" si="9"/>
        <v>-188901.27193953167</v>
      </c>
      <c r="U21" s="51">
        <f t="shared" si="9"/>
        <v>-187555.81355598028</v>
      </c>
      <c r="V21" s="51">
        <f t="shared" si="9"/>
        <v>-188333.24145763734</v>
      </c>
      <c r="W21" s="51">
        <f t="shared" si="9"/>
        <v>-206139.34179258085</v>
      </c>
      <c r="X21" s="51">
        <f t="shared" si="9"/>
        <v>-147748.31490990816</v>
      </c>
      <c r="Y21" s="51">
        <f t="shared" si="9"/>
        <v>9810499.9392307922</v>
      </c>
      <c r="Z21" s="51">
        <f t="shared" si="9"/>
        <v>-208852.64581733764</v>
      </c>
      <c r="AA21" s="51">
        <f t="shared" si="9"/>
        <v>-187268.69848894712</v>
      </c>
      <c r="AB21" s="51">
        <f t="shared" si="9"/>
        <v>-169442.40022338013</v>
      </c>
      <c r="AC21" s="51">
        <f t="shared" si="9"/>
        <v>-161083.91615815731</v>
      </c>
      <c r="AD21" s="51">
        <f t="shared" si="9"/>
        <v>-157056.16520157972</v>
      </c>
      <c r="AE21" s="51">
        <f t="shared" si="9"/>
        <v>-145058.79631453345</v>
      </c>
      <c r="AF21" s="51">
        <f t="shared" si="9"/>
        <v>-168572.40441713305</v>
      </c>
      <c r="AG21" s="51">
        <f t="shared" si="9"/>
        <v>-142535.00367398982</v>
      </c>
      <c r="AH21" s="51">
        <f t="shared" si="9"/>
        <v>-173104.20558811486</v>
      </c>
      <c r="AI21" s="51">
        <f t="shared" si="9"/>
        <v>-211116.56451128176</v>
      </c>
      <c r="AJ21" s="51">
        <f t="shared" si="9"/>
        <v>-154154.49599969483</v>
      </c>
      <c r="AK21" s="51">
        <f t="shared" ref="AK21:BL21" si="10">AK13+AK16+AK19</f>
        <v>-147716.28704446333</v>
      </c>
      <c r="AL21" s="51">
        <f t="shared" si="10"/>
        <v>-125300.19617621519</v>
      </c>
      <c r="AM21" s="51">
        <f t="shared" si="10"/>
        <v>-105866.05356940057</v>
      </c>
      <c r="AN21" s="51">
        <f t="shared" si="10"/>
        <v>-139196.16114628169</v>
      </c>
      <c r="AO21" s="51">
        <f t="shared" si="10"/>
        <v>-109084.73068061459</v>
      </c>
      <c r="AP21" s="51">
        <f t="shared" si="10"/>
        <v>-74494.616441325168</v>
      </c>
      <c r="AQ21" s="51">
        <f t="shared" si="10"/>
        <v>-72502.249584520585</v>
      </c>
      <c r="AR21" s="51">
        <f t="shared" si="10"/>
        <v>-35037.157727005717</v>
      </c>
      <c r="AS21" s="51">
        <f t="shared" si="10"/>
        <v>-20000.485083090665</v>
      </c>
      <c r="AT21" s="51">
        <f t="shared" si="10"/>
        <v>-45147.807956957375</v>
      </c>
      <c r="AU21" s="51">
        <f t="shared" si="10"/>
        <v>10849.196328023798</v>
      </c>
      <c r="AV21" s="51">
        <f t="shared" si="10"/>
        <v>20177.214929466078</v>
      </c>
      <c r="AW21" s="51">
        <f t="shared" si="10"/>
        <v>29496.319536782859</v>
      </c>
      <c r="AX21" s="51">
        <f t="shared" si="10"/>
        <v>78127.686597745516</v>
      </c>
      <c r="AY21" s="51">
        <f t="shared" si="10"/>
        <v>107345.37562863354</v>
      </c>
      <c r="AZ21" s="51">
        <f t="shared" si="10"/>
        <v>66448.84152727091</v>
      </c>
      <c r="BA21" s="51">
        <f t="shared" si="10"/>
        <v>142421.57578905718</v>
      </c>
      <c r="BB21" s="51">
        <f t="shared" si="10"/>
        <v>237225.56362589297</v>
      </c>
      <c r="BC21" s="51">
        <f t="shared" si="10"/>
        <v>296058.52359805512</v>
      </c>
      <c r="BD21" s="51">
        <f t="shared" si="10"/>
        <v>324045.72340058535</v>
      </c>
      <c r="BE21" s="51">
        <f t="shared" si="10"/>
        <v>398610.65921542095</v>
      </c>
      <c r="BF21" s="51">
        <f t="shared" si="10"/>
        <v>394685.03024014691</v>
      </c>
      <c r="BG21" s="51">
        <f t="shared" si="10"/>
        <v>446357.25959477737</v>
      </c>
      <c r="BH21" s="51">
        <f t="shared" si="10"/>
        <v>509933.30386853148</v>
      </c>
      <c r="BI21" s="51">
        <f t="shared" si="10"/>
        <v>542838.55163132178</v>
      </c>
      <c r="BJ21" s="51">
        <f t="shared" si="10"/>
        <v>611639.12503558188</v>
      </c>
      <c r="BK21" s="51">
        <f t="shared" si="10"/>
        <v>664160.47010845086</v>
      </c>
      <c r="BL21" s="51">
        <f t="shared" si="10"/>
        <v>364151.74513448775</v>
      </c>
      <c r="BN21" s="51">
        <f>SUMIFS($E21:$BL21,$E$6:$BL$6,BN$4)</f>
        <v>1862399.9351450428</v>
      </c>
      <c r="BO21" s="51">
        <f>SUMIFS($E21:$BL21,$E$6:$BL$6,BO$4)</f>
        <v>7771041.3740794314</v>
      </c>
      <c r="BP21" s="51">
        <f>SUMIFS($E21:$BL21,$E$6:$BL$6,BP$4)</f>
        <v>-1830760.2498008455</v>
      </c>
      <c r="BQ21" s="51">
        <f>SUMIFS($E21:$BL21,$E$6:$BL$6,BQ$4)</f>
        <v>-43822.412925591401</v>
      </c>
      <c r="BR21" s="51">
        <f>SUMIFS($E21:$BL21,$E$6:$BL$6,BR$4)</f>
        <v>4932127.5312423091</v>
      </c>
    </row>
    <row r="22" spans="1:70" x14ac:dyDescent="0.25">
      <c r="A22" s="8" t="s">
        <v>583</v>
      </c>
      <c r="B22" s="10" t="s">
        <v>83</v>
      </c>
      <c r="E22" s="50">
        <f t="shared" ref="E22:AJ22" si="11">D23</f>
        <v>250000</v>
      </c>
      <c r="F22" s="50">
        <f t="shared" si="11"/>
        <v>3692918</v>
      </c>
      <c r="G22" s="50">
        <f t="shared" si="11"/>
        <v>3592797.2686600001</v>
      </c>
      <c r="H22" s="50">
        <f t="shared" si="11"/>
        <v>3465185.8970042407</v>
      </c>
      <c r="I22" s="50">
        <f t="shared" si="11"/>
        <v>3332832.6320922035</v>
      </c>
      <c r="J22" s="50">
        <f t="shared" si="11"/>
        <v>3206561.0242036614</v>
      </c>
      <c r="K22" s="50">
        <f t="shared" si="11"/>
        <v>3061177.4641012689</v>
      </c>
      <c r="L22" s="50">
        <f t="shared" si="11"/>
        <v>2922036.7204419835</v>
      </c>
      <c r="M22" s="50">
        <f t="shared" si="11"/>
        <v>2775058.0190344052</v>
      </c>
      <c r="N22" s="50">
        <f t="shared" si="11"/>
        <v>2606648.9764771173</v>
      </c>
      <c r="O22" s="50">
        <f t="shared" si="11"/>
        <v>2440917.5803896124</v>
      </c>
      <c r="P22" s="50">
        <f t="shared" si="11"/>
        <v>2271884.8673907528</v>
      </c>
      <c r="Q22" s="50">
        <f t="shared" si="11"/>
        <v>2112399.9351450433</v>
      </c>
      <c r="R22" s="50">
        <f t="shared" si="11"/>
        <v>1925488.8918607424</v>
      </c>
      <c r="S22" s="50">
        <f t="shared" si="11"/>
        <v>1742525.4724695673</v>
      </c>
      <c r="T22" s="50">
        <f t="shared" si="11"/>
        <v>1557183.0981789858</v>
      </c>
      <c r="U22" s="50">
        <f t="shared" si="11"/>
        <v>1368281.8262394541</v>
      </c>
      <c r="V22" s="50">
        <f t="shared" si="11"/>
        <v>1180726.0126834738</v>
      </c>
      <c r="W22" s="50">
        <f t="shared" si="11"/>
        <v>992392.77122583636</v>
      </c>
      <c r="X22" s="50">
        <f t="shared" si="11"/>
        <v>786253.42943325546</v>
      </c>
      <c r="Y22" s="50">
        <f t="shared" si="11"/>
        <v>638505.11452334723</v>
      </c>
      <c r="Z22" s="50">
        <f t="shared" si="11"/>
        <v>10449005.05375414</v>
      </c>
      <c r="AA22" s="50">
        <f t="shared" si="11"/>
        <v>10240152.407936802</v>
      </c>
      <c r="AB22" s="50">
        <f t="shared" si="11"/>
        <v>10052883.709447855</v>
      </c>
      <c r="AC22" s="50">
        <f t="shared" si="11"/>
        <v>9883441.3092244752</v>
      </c>
      <c r="AD22" s="50">
        <f t="shared" si="11"/>
        <v>9722357.3930663187</v>
      </c>
      <c r="AE22" s="50">
        <f t="shared" si="11"/>
        <v>9565301.2278647386</v>
      </c>
      <c r="AF22" s="50">
        <f t="shared" si="11"/>
        <v>9420242.4315502048</v>
      </c>
      <c r="AG22" s="50">
        <f t="shared" si="11"/>
        <v>9251670.0271330718</v>
      </c>
      <c r="AH22" s="50">
        <f t="shared" si="11"/>
        <v>9109135.0234590825</v>
      </c>
      <c r="AI22" s="50">
        <f t="shared" si="11"/>
        <v>8936030.8178709671</v>
      </c>
      <c r="AJ22" s="50">
        <f t="shared" si="11"/>
        <v>8724914.2533596847</v>
      </c>
      <c r="AK22" s="50">
        <f t="shared" ref="AK22:BL22" si="12">AJ23</f>
        <v>8570759.757359989</v>
      </c>
      <c r="AL22" s="50">
        <f t="shared" si="12"/>
        <v>8423043.4703155253</v>
      </c>
      <c r="AM22" s="50">
        <f t="shared" si="12"/>
        <v>8297743.2741393102</v>
      </c>
      <c r="AN22" s="50">
        <f t="shared" si="12"/>
        <v>8191877.2205699096</v>
      </c>
      <c r="AO22" s="50">
        <f t="shared" si="12"/>
        <v>8052681.0594236283</v>
      </c>
      <c r="AP22" s="50">
        <f t="shared" si="12"/>
        <v>7943596.3287430136</v>
      </c>
      <c r="AQ22" s="50">
        <f t="shared" si="12"/>
        <v>7869101.7123016883</v>
      </c>
      <c r="AR22" s="50">
        <f t="shared" si="12"/>
        <v>7796599.462717168</v>
      </c>
      <c r="AS22" s="50">
        <f t="shared" si="12"/>
        <v>7761562.3049901621</v>
      </c>
      <c r="AT22" s="50">
        <f t="shared" si="12"/>
        <v>7741561.8199070711</v>
      </c>
      <c r="AU22" s="50">
        <f t="shared" si="12"/>
        <v>7696414.0119501138</v>
      </c>
      <c r="AV22" s="50">
        <f t="shared" si="12"/>
        <v>7707263.2082781373</v>
      </c>
      <c r="AW22" s="50">
        <f t="shared" si="12"/>
        <v>7727440.4232076034</v>
      </c>
      <c r="AX22" s="50">
        <f t="shared" si="12"/>
        <v>7756936.7427443862</v>
      </c>
      <c r="AY22" s="50">
        <f t="shared" si="12"/>
        <v>7835064.4293421321</v>
      </c>
      <c r="AZ22" s="50">
        <f t="shared" si="12"/>
        <v>7942409.8049707655</v>
      </c>
      <c r="BA22" s="50">
        <f t="shared" si="12"/>
        <v>8008858.6464980366</v>
      </c>
      <c r="BB22" s="50">
        <f t="shared" si="12"/>
        <v>8151280.2222870942</v>
      </c>
      <c r="BC22" s="50">
        <f t="shared" si="12"/>
        <v>8388505.7859129868</v>
      </c>
      <c r="BD22" s="50">
        <f t="shared" si="12"/>
        <v>8684564.3095110413</v>
      </c>
      <c r="BE22" s="50">
        <f t="shared" si="12"/>
        <v>9008610.0329116266</v>
      </c>
      <c r="BF22" s="50">
        <f t="shared" si="12"/>
        <v>9407220.6921270471</v>
      </c>
      <c r="BG22" s="50">
        <f t="shared" si="12"/>
        <v>9801905.7223671935</v>
      </c>
      <c r="BH22" s="50">
        <f t="shared" si="12"/>
        <v>10248262.981961971</v>
      </c>
      <c r="BI22" s="50">
        <f t="shared" si="12"/>
        <v>10758196.285830503</v>
      </c>
      <c r="BJ22" s="50">
        <f t="shared" si="12"/>
        <v>11301034.837461825</v>
      </c>
      <c r="BK22" s="50">
        <f t="shared" si="12"/>
        <v>11912673.962497408</v>
      </c>
      <c r="BL22" s="50">
        <f t="shared" si="12"/>
        <v>12576834.432605859</v>
      </c>
      <c r="BN22" s="50">
        <f>INDEX($D23:$BL23,(BN$4-start_year)*12+1)</f>
        <v>250000</v>
      </c>
      <c r="BO22" s="50">
        <f>INDEX($D23:$BL23,(BO$4-start_year)*12+1)</f>
        <v>2112399.9351450433</v>
      </c>
      <c r="BP22" s="50">
        <f>INDEX($D23:$BL23,(BP$4-start_year)*12+1)</f>
        <v>9883441.3092244752</v>
      </c>
      <c r="BQ22" s="50">
        <f>INDEX($D23:$BL23,(BQ$4-start_year)*12+1)</f>
        <v>8052681.0594236283</v>
      </c>
      <c r="BR22" s="50">
        <f>INDEX($D23:$BL23,(BR$4-start_year)*12+1)</f>
        <v>8008858.6464980366</v>
      </c>
    </row>
    <row r="23" spans="1:70" x14ac:dyDescent="0.25">
      <c r="A23" s="44" t="s">
        <v>584</v>
      </c>
      <c r="B23" s="10" t="s">
        <v>83</v>
      </c>
      <c r="C23" s="39" t="s">
        <v>585</v>
      </c>
      <c r="D23" s="52">
        <f>'Balance Sheet'!D9</f>
        <v>250000</v>
      </c>
      <c r="E23" s="51">
        <f t="shared" ref="E23:AJ23" si="13">E22+E21</f>
        <v>3692918</v>
      </c>
      <c r="F23" s="51">
        <f t="shared" si="13"/>
        <v>3592797.2686600001</v>
      </c>
      <c r="G23" s="51">
        <f t="shared" si="13"/>
        <v>3465185.8970042407</v>
      </c>
      <c r="H23" s="51">
        <f t="shared" si="13"/>
        <v>3332832.6320922035</v>
      </c>
      <c r="I23" s="51">
        <f t="shared" si="13"/>
        <v>3206561.0242036614</v>
      </c>
      <c r="J23" s="51">
        <f t="shared" si="13"/>
        <v>3061177.4641012689</v>
      </c>
      <c r="K23" s="51">
        <f t="shared" si="13"/>
        <v>2922036.7204419835</v>
      </c>
      <c r="L23" s="51">
        <f t="shared" si="13"/>
        <v>2775058.0190344052</v>
      </c>
      <c r="M23" s="51">
        <f t="shared" si="13"/>
        <v>2606648.9764771173</v>
      </c>
      <c r="N23" s="51">
        <f t="shared" si="13"/>
        <v>2440917.5803896124</v>
      </c>
      <c r="O23" s="51">
        <f t="shared" si="13"/>
        <v>2271884.8673907528</v>
      </c>
      <c r="P23" s="51">
        <f t="shared" si="13"/>
        <v>2112399.9351450433</v>
      </c>
      <c r="Q23" s="51">
        <f t="shared" si="13"/>
        <v>1925488.8918607424</v>
      </c>
      <c r="R23" s="51">
        <f t="shared" si="13"/>
        <v>1742525.4724695673</v>
      </c>
      <c r="S23" s="51">
        <f t="shared" si="13"/>
        <v>1557183.0981789858</v>
      </c>
      <c r="T23" s="51">
        <f t="shared" si="13"/>
        <v>1368281.8262394541</v>
      </c>
      <c r="U23" s="51">
        <f t="shared" si="13"/>
        <v>1180726.0126834738</v>
      </c>
      <c r="V23" s="51">
        <f t="shared" si="13"/>
        <v>992392.77122583636</v>
      </c>
      <c r="W23" s="51">
        <f t="shared" si="13"/>
        <v>786253.42943325546</v>
      </c>
      <c r="X23" s="51">
        <f t="shared" si="13"/>
        <v>638505.11452334723</v>
      </c>
      <c r="Y23" s="51">
        <f t="shared" si="13"/>
        <v>10449005.05375414</v>
      </c>
      <c r="Z23" s="51">
        <f t="shared" si="13"/>
        <v>10240152.407936802</v>
      </c>
      <c r="AA23" s="51">
        <f t="shared" si="13"/>
        <v>10052883.709447855</v>
      </c>
      <c r="AB23" s="51">
        <f t="shared" si="13"/>
        <v>9883441.3092244752</v>
      </c>
      <c r="AC23" s="51">
        <f t="shared" si="13"/>
        <v>9722357.3930663187</v>
      </c>
      <c r="AD23" s="51">
        <f t="shared" si="13"/>
        <v>9565301.2278647386</v>
      </c>
      <c r="AE23" s="51">
        <f t="shared" si="13"/>
        <v>9420242.4315502048</v>
      </c>
      <c r="AF23" s="51">
        <f t="shared" si="13"/>
        <v>9251670.0271330718</v>
      </c>
      <c r="AG23" s="51">
        <f t="shared" si="13"/>
        <v>9109135.0234590825</v>
      </c>
      <c r="AH23" s="51">
        <f t="shared" si="13"/>
        <v>8936030.8178709671</v>
      </c>
      <c r="AI23" s="51">
        <f t="shared" si="13"/>
        <v>8724914.2533596847</v>
      </c>
      <c r="AJ23" s="51">
        <f t="shared" si="13"/>
        <v>8570759.757359989</v>
      </c>
      <c r="AK23" s="51">
        <f t="shared" ref="AK23:BP23" si="14">AK22+AK21</f>
        <v>8423043.4703155253</v>
      </c>
      <c r="AL23" s="51">
        <f t="shared" si="14"/>
        <v>8297743.2741393102</v>
      </c>
      <c r="AM23" s="51">
        <f t="shared" si="14"/>
        <v>8191877.2205699096</v>
      </c>
      <c r="AN23" s="51">
        <f t="shared" si="14"/>
        <v>8052681.0594236283</v>
      </c>
      <c r="AO23" s="51">
        <f t="shared" si="14"/>
        <v>7943596.3287430136</v>
      </c>
      <c r="AP23" s="51">
        <f t="shared" si="14"/>
        <v>7869101.7123016883</v>
      </c>
      <c r="AQ23" s="51">
        <f t="shared" si="14"/>
        <v>7796599.462717168</v>
      </c>
      <c r="AR23" s="51">
        <f t="shared" si="14"/>
        <v>7761562.3049901621</v>
      </c>
      <c r="AS23" s="51">
        <f t="shared" si="14"/>
        <v>7741561.8199070711</v>
      </c>
      <c r="AT23" s="51">
        <f t="shared" si="14"/>
        <v>7696414.0119501138</v>
      </c>
      <c r="AU23" s="51">
        <f t="shared" si="14"/>
        <v>7707263.2082781373</v>
      </c>
      <c r="AV23" s="51">
        <f t="shared" si="14"/>
        <v>7727440.4232076034</v>
      </c>
      <c r="AW23" s="51">
        <f t="shared" si="14"/>
        <v>7756936.7427443862</v>
      </c>
      <c r="AX23" s="51">
        <f t="shared" si="14"/>
        <v>7835064.4293421321</v>
      </c>
      <c r="AY23" s="51">
        <f t="shared" si="14"/>
        <v>7942409.8049707655</v>
      </c>
      <c r="AZ23" s="51">
        <f t="shared" si="14"/>
        <v>8008858.6464980366</v>
      </c>
      <c r="BA23" s="51">
        <f t="shared" si="14"/>
        <v>8151280.2222870942</v>
      </c>
      <c r="BB23" s="51">
        <f t="shared" si="14"/>
        <v>8388505.7859129868</v>
      </c>
      <c r="BC23" s="51">
        <f t="shared" si="14"/>
        <v>8684564.3095110413</v>
      </c>
      <c r="BD23" s="51">
        <f t="shared" si="14"/>
        <v>9008610.0329116266</v>
      </c>
      <c r="BE23" s="51">
        <f t="shared" si="14"/>
        <v>9407220.6921270471</v>
      </c>
      <c r="BF23" s="51">
        <f t="shared" si="14"/>
        <v>9801905.7223671935</v>
      </c>
      <c r="BG23" s="51">
        <f t="shared" si="14"/>
        <v>10248262.981961971</v>
      </c>
      <c r="BH23" s="51">
        <f t="shared" si="14"/>
        <v>10758196.285830503</v>
      </c>
      <c r="BI23" s="51">
        <f t="shared" si="14"/>
        <v>11301034.837461825</v>
      </c>
      <c r="BJ23" s="51">
        <f t="shared" si="14"/>
        <v>11912673.962497408</v>
      </c>
      <c r="BK23" s="51">
        <f t="shared" si="14"/>
        <v>12576834.432605859</v>
      </c>
      <c r="BL23" s="51">
        <f t="shared" si="14"/>
        <v>12940986.177740347</v>
      </c>
      <c r="BN23" s="51">
        <f>INDEX($D23:$BL23,(BN$4-start_year+1)*12+1)</f>
        <v>2112399.9351450433</v>
      </c>
      <c r="BO23" s="51">
        <f>INDEX($D23:$BL23,(BO$4-start_year+1)*12+1)</f>
        <v>9883441.3092244752</v>
      </c>
      <c r="BP23" s="51">
        <f>INDEX($D23:$BL23,(BP$4-start_year+1)*12+1)</f>
        <v>8052681.0594236283</v>
      </c>
      <c r="BQ23" s="51">
        <f>INDEX($D23:$BL23,(BQ$4-start_year+1)*12+1)</f>
        <v>8008858.6464980366</v>
      </c>
      <c r="BR23" s="51">
        <f>INDEX($D23:$BL23,(BR$4-start_year+1)*12+1)</f>
        <v>12940986.177740347</v>
      </c>
    </row>
    <row r="24" spans="1:70" x14ac:dyDescent="0.25">
      <c r="A24" s="8" t="s">
        <v>586</v>
      </c>
      <c r="B24" s="10" t="s">
        <v>83</v>
      </c>
      <c r="E24" s="50">
        <f t="shared" ref="E24:AJ24" si="15">E13+E16</f>
        <v>-57081.999999999993</v>
      </c>
      <c r="F24" s="50">
        <f t="shared" si="15"/>
        <v>-100120.73134</v>
      </c>
      <c r="G24" s="50">
        <f t="shared" si="15"/>
        <v>-127611.37165575958</v>
      </c>
      <c r="H24" s="50">
        <f t="shared" si="15"/>
        <v>-132353.26491203724</v>
      </c>
      <c r="I24" s="50">
        <f t="shared" si="15"/>
        <v>-126271.60788854233</v>
      </c>
      <c r="J24" s="50">
        <f t="shared" si="15"/>
        <v>-145383.5601023924</v>
      </c>
      <c r="K24" s="50">
        <f t="shared" si="15"/>
        <v>-139140.74365928542</v>
      </c>
      <c r="L24" s="50">
        <f t="shared" si="15"/>
        <v>-146978.7014075784</v>
      </c>
      <c r="M24" s="50">
        <f t="shared" si="15"/>
        <v>-168409.04255728779</v>
      </c>
      <c r="N24" s="50">
        <f t="shared" si="15"/>
        <v>-165731.3960875051</v>
      </c>
      <c r="O24" s="50">
        <f t="shared" si="15"/>
        <v>-169032.71299885973</v>
      </c>
      <c r="P24" s="50">
        <f t="shared" si="15"/>
        <v>-159484.93224570961</v>
      </c>
      <c r="Q24" s="50">
        <f t="shared" si="15"/>
        <v>-186911.04328430098</v>
      </c>
      <c r="R24" s="50">
        <f t="shared" si="15"/>
        <v>-182963.41939117515</v>
      </c>
      <c r="S24" s="50">
        <f t="shared" si="15"/>
        <v>-185342.37429058165</v>
      </c>
      <c r="T24" s="50">
        <f t="shared" si="15"/>
        <v>-188901.27193953167</v>
      </c>
      <c r="U24" s="50">
        <f t="shared" si="15"/>
        <v>-187555.81355598028</v>
      </c>
      <c r="V24" s="50">
        <f t="shared" si="15"/>
        <v>-188333.24145763734</v>
      </c>
      <c r="W24" s="50">
        <f t="shared" si="15"/>
        <v>-206139.34179258085</v>
      </c>
      <c r="X24" s="50">
        <f t="shared" si="15"/>
        <v>-147748.31490990816</v>
      </c>
      <c r="Y24" s="50">
        <f t="shared" si="15"/>
        <v>-189500.06076920824</v>
      </c>
      <c r="Z24" s="50">
        <f t="shared" si="15"/>
        <v>-208852.64581733764</v>
      </c>
      <c r="AA24" s="50">
        <f t="shared" si="15"/>
        <v>-187268.69848894712</v>
      </c>
      <c r="AB24" s="50">
        <f t="shared" si="15"/>
        <v>-169442.40022338013</v>
      </c>
      <c r="AC24" s="50">
        <f t="shared" si="15"/>
        <v>-161083.91615815731</v>
      </c>
      <c r="AD24" s="50">
        <f t="shared" si="15"/>
        <v>-157056.16520157972</v>
      </c>
      <c r="AE24" s="50">
        <f t="shared" si="15"/>
        <v>-145058.79631453345</v>
      </c>
      <c r="AF24" s="50">
        <f t="shared" si="15"/>
        <v>-168572.40441713305</v>
      </c>
      <c r="AG24" s="50">
        <f t="shared" si="15"/>
        <v>-142535.00367398982</v>
      </c>
      <c r="AH24" s="50">
        <f t="shared" si="15"/>
        <v>-173104.20558811486</v>
      </c>
      <c r="AI24" s="50">
        <f t="shared" si="15"/>
        <v>-211116.56451128176</v>
      </c>
      <c r="AJ24" s="50">
        <f t="shared" si="15"/>
        <v>-154154.49599969483</v>
      </c>
      <c r="AK24" s="50">
        <f t="shared" ref="AK24:BL24" si="16">AK13+AK16</f>
        <v>-147716.28704446333</v>
      </c>
      <c r="AL24" s="50">
        <f t="shared" si="16"/>
        <v>-125300.19617621519</v>
      </c>
      <c r="AM24" s="50">
        <f t="shared" si="16"/>
        <v>-105866.05356940057</v>
      </c>
      <c r="AN24" s="50">
        <f t="shared" si="16"/>
        <v>-139196.16114628169</v>
      </c>
      <c r="AO24" s="50">
        <f t="shared" si="16"/>
        <v>-109084.73068061459</v>
      </c>
      <c r="AP24" s="50">
        <f t="shared" si="16"/>
        <v>-74494.616441325168</v>
      </c>
      <c r="AQ24" s="50">
        <f t="shared" si="16"/>
        <v>-72502.249584520585</v>
      </c>
      <c r="AR24" s="50">
        <f t="shared" si="16"/>
        <v>-35037.157727005717</v>
      </c>
      <c r="AS24" s="50">
        <f t="shared" si="16"/>
        <v>-20000.485083090665</v>
      </c>
      <c r="AT24" s="50">
        <f t="shared" si="16"/>
        <v>-45147.807956957375</v>
      </c>
      <c r="AU24" s="50">
        <f t="shared" si="16"/>
        <v>10849.196328023798</v>
      </c>
      <c r="AV24" s="50">
        <f t="shared" si="16"/>
        <v>20177.214929466078</v>
      </c>
      <c r="AW24" s="50">
        <f t="shared" si="16"/>
        <v>29496.319536782859</v>
      </c>
      <c r="AX24" s="50">
        <f t="shared" si="16"/>
        <v>78127.686597745516</v>
      </c>
      <c r="AY24" s="50">
        <f t="shared" si="16"/>
        <v>107345.37562863354</v>
      </c>
      <c r="AZ24" s="50">
        <f t="shared" si="16"/>
        <v>66448.84152727091</v>
      </c>
      <c r="BA24" s="50">
        <f t="shared" si="16"/>
        <v>142421.57578905718</v>
      </c>
      <c r="BB24" s="50">
        <f t="shared" si="16"/>
        <v>237225.56362589297</v>
      </c>
      <c r="BC24" s="50">
        <f t="shared" si="16"/>
        <v>296058.52359805512</v>
      </c>
      <c r="BD24" s="50">
        <f t="shared" si="16"/>
        <v>324045.72340058535</v>
      </c>
      <c r="BE24" s="50">
        <f t="shared" si="16"/>
        <v>398610.65921542095</v>
      </c>
      <c r="BF24" s="50">
        <f t="shared" si="16"/>
        <v>394685.03024014691</v>
      </c>
      <c r="BG24" s="50">
        <f t="shared" si="16"/>
        <v>446357.25959477737</v>
      </c>
      <c r="BH24" s="50">
        <f t="shared" si="16"/>
        <v>509933.30386853148</v>
      </c>
      <c r="BI24" s="50">
        <f t="shared" si="16"/>
        <v>542838.55163132178</v>
      </c>
      <c r="BJ24" s="50">
        <f t="shared" si="16"/>
        <v>611639.12503558188</v>
      </c>
      <c r="BK24" s="50">
        <f t="shared" si="16"/>
        <v>664160.47010845086</v>
      </c>
      <c r="BL24" s="50">
        <f t="shared" si="16"/>
        <v>364151.74513448775</v>
      </c>
      <c r="BN24" s="50">
        <f>SUMIFS($E24:$BL24,$E$6:$BL$6,BN$4)</f>
        <v>-1637600.0648549579</v>
      </c>
      <c r="BO24" s="50">
        <f>SUMIFS($E24:$BL24,$E$6:$BL$6,BO$4)</f>
        <v>-2228958.6259205691</v>
      </c>
      <c r="BP24" s="50">
        <f>SUMIFS($E24:$BL24,$E$6:$BL$6,BP$4)</f>
        <v>-1830760.2498008455</v>
      </c>
      <c r="BQ24" s="50">
        <f>SUMIFS($E24:$BL24,$E$6:$BL$6,BQ$4)</f>
        <v>-43822.412925591401</v>
      </c>
      <c r="BR24" s="50">
        <f>SUMIFS($E24:$BL24,$E$6:$BL$6,BR$4)</f>
        <v>4932127.5312423091</v>
      </c>
    </row>
    <row r="25" spans="1:70" x14ac:dyDescent="0.25">
      <c r="A25" s="8" t="s">
        <v>587</v>
      </c>
      <c r="B25" s="10" t="s">
        <v>83</v>
      </c>
      <c r="D25" s="58">
        <f>Monthly!D91</f>
        <v>250000</v>
      </c>
      <c r="E25" s="58">
        <f>Monthly!E91</f>
        <v>3692918</v>
      </c>
      <c r="F25" s="58">
        <f>Monthly!F91</f>
        <v>3592797.2686600001</v>
      </c>
      <c r="G25" s="58">
        <f>Monthly!G91</f>
        <v>3465185.8970042407</v>
      </c>
      <c r="H25" s="58">
        <f>Monthly!H91</f>
        <v>3332832.6320922035</v>
      </c>
      <c r="I25" s="58">
        <f>Monthly!I91</f>
        <v>3206561.0242036614</v>
      </c>
      <c r="J25" s="58">
        <f>Monthly!J91</f>
        <v>3061177.4641012684</v>
      </c>
      <c r="K25" s="58">
        <f>Monthly!K91</f>
        <v>2922036.7204419826</v>
      </c>
      <c r="L25" s="58">
        <f>Monthly!L91</f>
        <v>2775058.0190344043</v>
      </c>
      <c r="M25" s="58">
        <f>Monthly!M91</f>
        <v>2606648.9764771159</v>
      </c>
      <c r="N25" s="58">
        <f>Monthly!N91</f>
        <v>2440917.580389611</v>
      </c>
      <c r="O25" s="58">
        <f>Monthly!O91</f>
        <v>2271884.8673907514</v>
      </c>
      <c r="P25" s="58">
        <f>Monthly!P91</f>
        <v>2112399.9351450414</v>
      </c>
      <c r="Q25" s="58">
        <f>Monthly!Q91</f>
        <v>1925488.8918607405</v>
      </c>
      <c r="R25" s="58">
        <f>Monthly!R91</f>
        <v>1742525.4724695652</v>
      </c>
      <c r="S25" s="58">
        <f>Monthly!S91</f>
        <v>1557183.0981789837</v>
      </c>
      <c r="T25" s="58">
        <f>Monthly!T91</f>
        <v>1368281.826239452</v>
      </c>
      <c r="U25" s="58">
        <f>Monthly!U91</f>
        <v>1180726.0126834719</v>
      </c>
      <c r="V25" s="58">
        <f>Monthly!V91</f>
        <v>992392.77122583461</v>
      </c>
      <c r="W25" s="58">
        <f>Monthly!W91</f>
        <v>786253.42943325371</v>
      </c>
      <c r="X25" s="58">
        <f>Monthly!X91</f>
        <v>638505.1145233456</v>
      </c>
      <c r="Y25" s="58">
        <f>Monthly!Y91</f>
        <v>449005.05375413783</v>
      </c>
      <c r="Z25" s="58">
        <f>Monthly!Z91</f>
        <v>240152.40793680027</v>
      </c>
      <c r="AA25" s="58">
        <f>Monthly!AA91</f>
        <v>52883.709447853267</v>
      </c>
      <c r="AB25" s="58">
        <f>Monthly!AB91</f>
        <v>-116558.69077552855</v>
      </c>
      <c r="AC25" s="58">
        <f>Monthly!AC91</f>
        <v>-277642.60693368688</v>
      </c>
      <c r="AD25" s="58">
        <f>Monthly!AD91</f>
        <v>-434698.77213526703</v>
      </c>
      <c r="AE25" s="58">
        <f>Monthly!AE91</f>
        <v>-579757.56844979897</v>
      </c>
      <c r="AF25" s="58">
        <f>Monthly!AF91</f>
        <v>-748329.97286693379</v>
      </c>
      <c r="AG25" s="58">
        <f>Monthly!AG91</f>
        <v>-890864.97654092498</v>
      </c>
      <c r="AH25" s="58">
        <f>Monthly!AH91</f>
        <v>-1063969.1821290404</v>
      </c>
      <c r="AI25" s="58">
        <f>Monthly!AI91</f>
        <v>-1275085.7466403209</v>
      </c>
      <c r="AJ25" s="58">
        <f>Monthly!AJ91</f>
        <v>-1429240.2426400147</v>
      </c>
      <c r="AK25" s="58">
        <f>Monthly!AK91</f>
        <v>-1576956.5296844784</v>
      </c>
      <c r="AL25" s="58">
        <f>Monthly!AL91</f>
        <v>-1702256.7258606944</v>
      </c>
      <c r="AM25" s="58">
        <f>Monthly!AM91</f>
        <v>-1808122.7794300951</v>
      </c>
      <c r="AN25" s="58">
        <f>Monthly!AN91</f>
        <v>-1947318.9405763764</v>
      </c>
      <c r="AO25" s="58">
        <f>Monthly!AO91</f>
        <v>-2056403.6712569902</v>
      </c>
      <c r="AP25" s="58">
        <f>Monthly!AP91</f>
        <v>-2130898.2876983155</v>
      </c>
      <c r="AQ25" s="58">
        <f>Monthly!AQ91</f>
        <v>-2203400.5372828357</v>
      </c>
      <c r="AR25" s="58">
        <f>Monthly!AR91</f>
        <v>-2238437.6950098416</v>
      </c>
      <c r="AS25" s="58">
        <f>Monthly!AS91</f>
        <v>-2258438.1800929317</v>
      </c>
      <c r="AT25" s="58">
        <f>Monthly!AT91</f>
        <v>-2303585.9880498899</v>
      </c>
      <c r="AU25" s="58">
        <f>Monthly!AU91</f>
        <v>-2292736.7917218665</v>
      </c>
      <c r="AV25" s="58">
        <f>Monthly!AV91</f>
        <v>-2272559.5767924003</v>
      </c>
      <c r="AW25" s="58">
        <f>Monthly!AW91</f>
        <v>-2243063.2572556175</v>
      </c>
      <c r="AX25" s="58">
        <f>Monthly!AX91</f>
        <v>-2164935.5706578717</v>
      </c>
      <c r="AY25" s="58">
        <f>Monthly!AY91</f>
        <v>-2057590.1950292382</v>
      </c>
      <c r="AZ25" s="58">
        <f>Monthly!AZ91</f>
        <v>-1991141.3535019681</v>
      </c>
      <c r="BA25" s="58">
        <f>Monthly!BA91</f>
        <v>-1848719.7777129104</v>
      </c>
      <c r="BB25" s="58">
        <f>Monthly!BB91</f>
        <v>-1611494.2140870169</v>
      </c>
      <c r="BC25" s="58">
        <f>Monthly!BC91</f>
        <v>-1315435.6904889606</v>
      </c>
      <c r="BD25" s="58">
        <f>Monthly!BD91</f>
        <v>-991389.96708837338</v>
      </c>
      <c r="BE25" s="58">
        <f>Monthly!BE91</f>
        <v>-592779.30787295289</v>
      </c>
      <c r="BF25" s="58">
        <f>Monthly!BF91</f>
        <v>-198094.27763280645</v>
      </c>
      <c r="BG25" s="58">
        <f>Monthly!BG91</f>
        <v>248262.98196197301</v>
      </c>
      <c r="BH25" s="58">
        <f>Monthly!BH91</f>
        <v>758196.28583050519</v>
      </c>
      <c r="BI25" s="58">
        <f>Monthly!BI91</f>
        <v>1301034.8374618255</v>
      </c>
      <c r="BJ25" s="58">
        <f>Monthly!BJ91</f>
        <v>1912673.9624974057</v>
      </c>
      <c r="BK25" s="58">
        <f>Monthly!BK91</f>
        <v>2576834.4326058552</v>
      </c>
      <c r="BL25" s="58">
        <f>Monthly!BL91</f>
        <v>2940986.1777403448</v>
      </c>
      <c r="BN25" s="50">
        <f>INDEX($D25:$BL25,(BN$4-start_year+1)*12+1)</f>
        <v>2112399.9351450414</v>
      </c>
      <c r="BO25" s="50">
        <f>INDEX($D25:$BL25,(BO$4-start_year+1)*12+1)</f>
        <v>-116558.69077552855</v>
      </c>
      <c r="BP25" s="50">
        <f>INDEX($D25:$BL25,(BP$4-start_year+1)*12+1)</f>
        <v>-1947318.9405763764</v>
      </c>
      <c r="BQ25" s="50">
        <f>INDEX($D25:$BL25,(BQ$4-start_year+1)*12+1)</f>
        <v>-1991141.3535019681</v>
      </c>
      <c r="BR25" s="50">
        <f>INDEX($D25:$BL25,(BR$4-start_year+1)*12+1)</f>
        <v>2940986.1777403448</v>
      </c>
    </row>
    <row r="28" spans="1:70" x14ac:dyDescent="0.25">
      <c r="A28" s="19" t="s">
        <v>588</v>
      </c>
      <c r="B28" s="20"/>
      <c r="C28" s="20"/>
      <c r="D28" s="20"/>
    </row>
    <row r="29" spans="1:70" x14ac:dyDescent="0.25">
      <c r="A29" s="8" t="s">
        <v>589</v>
      </c>
      <c r="B29" s="10" t="s">
        <v>112</v>
      </c>
      <c r="D29" s="59">
        <f>IFERROR(MATCH(1,Monthly!$E$92:$BL$92,0),"not met")</f>
        <v>20</v>
      </c>
    </row>
    <row r="30" spans="1:70" x14ac:dyDescent="0.25">
      <c r="A30" s="8" t="s">
        <v>590</v>
      </c>
      <c r="B30" s="10" t="s">
        <v>591</v>
      </c>
      <c r="D30" s="60">
        <f>IF(ISNUMBER(D29),DATE(start_year,D29,1),"n/a")</f>
        <v>46966</v>
      </c>
    </row>
    <row r="31" spans="1:70" x14ac:dyDescent="0.25">
      <c r="A31" s="8" t="s">
        <v>592</v>
      </c>
      <c r="B31" s="10" t="s">
        <v>83</v>
      </c>
      <c r="D31" s="52">
        <f>IF(ISNUMBER(D29),INDEX(Monthly!$E$50:$BL$50,D29),"n/a")</f>
        <v>3029615.105100614</v>
      </c>
    </row>
    <row r="32" spans="1:70" x14ac:dyDescent="0.25">
      <c r="A32" s="8" t="s">
        <v>593</v>
      </c>
      <c r="B32" s="10" t="s">
        <v>136</v>
      </c>
      <c r="D32" s="49">
        <f>IF(ISNUMBER(D29),INDEX(Monthly!$E$40:$BL$40,D29),"n/a")</f>
        <v>163.34307914433955</v>
      </c>
    </row>
    <row r="33" spans="1:4" x14ac:dyDescent="0.25">
      <c r="A33" s="8" t="s">
        <v>594</v>
      </c>
      <c r="B33" s="10" t="s">
        <v>453</v>
      </c>
      <c r="D33" s="45">
        <f>IF(ISNUMBER(D29),INDEX(Monthly!$E$23:$BL$23,D29),"n/a")</f>
        <v>22</v>
      </c>
    </row>
    <row r="34" spans="1:4" x14ac:dyDescent="0.25">
      <c r="A34" s="8" t="s">
        <v>595</v>
      </c>
      <c r="B34" s="10" t="s">
        <v>112</v>
      </c>
      <c r="D34" s="59">
        <f>IF(ISNUMBER(D29),D29-process_lead,"n/a")</f>
        <v>17</v>
      </c>
    </row>
    <row r="35" spans="1:4" x14ac:dyDescent="0.25">
      <c r="A35" s="8" t="s">
        <v>596</v>
      </c>
      <c r="B35" s="10" t="s">
        <v>83</v>
      </c>
      <c r="D35" s="52">
        <f>IF(ISNUMBER(D34),INDEX(Monthly!$E$50:$BL$50,D34),"n/a")</f>
        <v>2293383.9280644986</v>
      </c>
    </row>
    <row r="36" spans="1:4" x14ac:dyDescent="0.25">
      <c r="A36" s="8" t="s">
        <v>597</v>
      </c>
      <c r="B36" s="10" t="s">
        <v>112</v>
      </c>
      <c r="D36" s="59">
        <f>a_month</f>
        <v>21</v>
      </c>
    </row>
    <row r="37" spans="1:4" x14ac:dyDescent="0.25">
      <c r="A37" s="8" t="s">
        <v>44</v>
      </c>
      <c r="B37" s="10" t="s">
        <v>83</v>
      </c>
      <c r="D37" s="52">
        <f>MIN(Monthly!$E$94:$BL$94)</f>
        <v>638505.1145233456</v>
      </c>
    </row>
    <row r="38" spans="1:4" x14ac:dyDescent="0.25">
      <c r="A38" s="8" t="s">
        <v>598</v>
      </c>
      <c r="B38" s="10" t="s">
        <v>112</v>
      </c>
      <c r="D38" s="59">
        <f>MATCH(D37,Monthly!$E$94:$BL$94,0)</f>
        <v>20</v>
      </c>
    </row>
    <row r="39" spans="1:4" x14ac:dyDescent="0.25">
      <c r="A39" s="8" t="s">
        <v>599</v>
      </c>
      <c r="B39" s="10" t="s">
        <v>112</v>
      </c>
      <c r="D39" s="59">
        <f>IFERROR(MATCH(1,Monthly!$E$93:$BL$93,0),"no cash gap")</f>
        <v>24</v>
      </c>
    </row>
    <row r="40" spans="1:4" x14ac:dyDescent="0.25">
      <c r="A40" s="8" t="s">
        <v>600</v>
      </c>
      <c r="B40" s="10" t="s">
        <v>162</v>
      </c>
      <c r="D40" s="59">
        <f>IF(AND(ISNUMBER(D39),ISNUMBER(D29)),D39-D29,"no cash gap")</f>
        <v>4</v>
      </c>
    </row>
    <row r="41" spans="1:4" x14ac:dyDescent="0.25">
      <c r="A41" s="8" t="s">
        <v>601</v>
      </c>
      <c r="B41" s="10" t="s">
        <v>83</v>
      </c>
      <c r="D41" s="52">
        <f>MIN(Monthly!$E$95:$BL$95)</f>
        <v>7696414.0119501101</v>
      </c>
    </row>
    <row r="42" spans="1:4" x14ac:dyDescent="0.25">
      <c r="A42" s="8" t="s">
        <v>598</v>
      </c>
      <c r="B42" s="10" t="s">
        <v>112</v>
      </c>
      <c r="D42" s="59">
        <f>MATCH(D41,Monthly!$E$95:$BL$95,0)</f>
        <v>42</v>
      </c>
    </row>
    <row r="43" spans="1:4" x14ac:dyDescent="0.25">
      <c r="A43" s="8" t="s">
        <v>46</v>
      </c>
      <c r="B43" s="10" t="s">
        <v>112</v>
      </c>
      <c r="D43" s="59">
        <f>IFERROR(MATCH(1,Monthly!$E$96:$BL$96,0),"not reached")</f>
        <v>40</v>
      </c>
    </row>
    <row r="44" spans="1:4" x14ac:dyDescent="0.25">
      <c r="A44" s="8" t="s">
        <v>602</v>
      </c>
      <c r="B44" s="10" t="s">
        <v>83</v>
      </c>
      <c r="D44" s="52">
        <f>AVERAGE(INDEX(Monthly!$E$74:$BL$74,1):INDEX(Monthly!$E$74:$BL$74,a_month-1))</f>
        <v>-147685.14731229306</v>
      </c>
    </row>
    <row r="45" spans="1:4" x14ac:dyDescent="0.25">
      <c r="A45" s="8" t="s">
        <v>603</v>
      </c>
      <c r="B45" s="10" t="s">
        <v>83</v>
      </c>
      <c r="D45" s="52">
        <f>MIN(Monthly!$E$74:$BL$74)</f>
        <v>-206139.34179258082</v>
      </c>
    </row>
    <row r="46" spans="1:4" x14ac:dyDescent="0.25">
      <c r="A46" s="8" t="s">
        <v>604</v>
      </c>
      <c r="B46" s="10" t="s">
        <v>112</v>
      </c>
      <c r="D46" s="59">
        <f>MATCH(D45,Monthly!$E$74:$BL$74,0)</f>
        <v>18</v>
      </c>
    </row>
    <row r="47" spans="1:4" x14ac:dyDescent="0.25">
      <c r="A47" s="8" t="s">
        <v>605</v>
      </c>
      <c r="B47" s="10" t="s">
        <v>83</v>
      </c>
      <c r="D47" s="52">
        <f>INDEX(Monthly!$E$89:$BL$89,60)</f>
        <v>12940986.177740345</v>
      </c>
    </row>
  </sheetData>
  <mergeCells count="1">
    <mergeCell ref="G1:I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E2A55"/>
  </sheetPr>
  <dimension ref="A1:BS24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0" customWidth="1"/>
    <col min="2" max="2" width="11" customWidth="1"/>
    <col min="3" max="3" width="30" customWidth="1"/>
    <col min="4" max="64" width="11.42578125" customWidth="1"/>
    <col min="65" max="65" width="3" customWidth="1"/>
    <col min="66" max="71" width="13" customWidth="1"/>
  </cols>
  <sheetData>
    <row r="1" spans="1:71" ht="19.5" x14ac:dyDescent="0.3">
      <c r="A1" s="17" t="s">
        <v>606</v>
      </c>
      <c r="G1" s="125" t="s">
        <v>1</v>
      </c>
      <c r="H1" s="122"/>
      <c r="I1" s="122"/>
    </row>
    <row r="2" spans="1:71" x14ac:dyDescent="0.25">
      <c r="A2" s="4" t="s">
        <v>607</v>
      </c>
    </row>
    <row r="3" spans="1:71" x14ac:dyDescent="0.25">
      <c r="D3" s="36" t="s">
        <v>433</v>
      </c>
      <c r="E3" s="4" t="s">
        <v>434</v>
      </c>
      <c r="BN3" s="36" t="s">
        <v>608</v>
      </c>
    </row>
    <row r="4" spans="1:71" x14ac:dyDescent="0.25">
      <c r="A4" s="7" t="s">
        <v>435</v>
      </c>
      <c r="B4" s="7" t="s">
        <v>63</v>
      </c>
      <c r="C4" s="7" t="s">
        <v>436</v>
      </c>
      <c r="D4" s="37">
        <f>Monthly!D4</f>
        <v>46357</v>
      </c>
      <c r="E4" s="37">
        <f>Monthly!E4</f>
        <v>46388</v>
      </c>
      <c r="F4" s="37">
        <f>Monthly!F4</f>
        <v>46419</v>
      </c>
      <c r="G4" s="37">
        <f>Monthly!G4</f>
        <v>46447</v>
      </c>
      <c r="H4" s="37">
        <f>Monthly!H4</f>
        <v>46478</v>
      </c>
      <c r="I4" s="37">
        <f>Monthly!I4</f>
        <v>46508</v>
      </c>
      <c r="J4" s="37">
        <f>Monthly!J4</f>
        <v>46539</v>
      </c>
      <c r="K4" s="37">
        <f>Monthly!K4</f>
        <v>46569</v>
      </c>
      <c r="L4" s="37">
        <f>Monthly!L4</f>
        <v>46600</v>
      </c>
      <c r="M4" s="37">
        <f>Monthly!M4</f>
        <v>46631</v>
      </c>
      <c r="N4" s="37">
        <f>Monthly!N4</f>
        <v>46661</v>
      </c>
      <c r="O4" s="37">
        <f>Monthly!O4</f>
        <v>46692</v>
      </c>
      <c r="P4" s="37">
        <f>Monthly!P4</f>
        <v>46722</v>
      </c>
      <c r="Q4" s="37">
        <f>Monthly!Q4</f>
        <v>46753</v>
      </c>
      <c r="R4" s="37">
        <f>Monthly!R4</f>
        <v>46784</v>
      </c>
      <c r="S4" s="37">
        <f>Monthly!S4</f>
        <v>46813</v>
      </c>
      <c r="T4" s="37">
        <f>Monthly!T4</f>
        <v>46844</v>
      </c>
      <c r="U4" s="37">
        <f>Monthly!U4</f>
        <v>46874</v>
      </c>
      <c r="V4" s="37">
        <f>Monthly!V4</f>
        <v>46905</v>
      </c>
      <c r="W4" s="37">
        <f>Monthly!W4</f>
        <v>46935</v>
      </c>
      <c r="X4" s="37">
        <f>Monthly!X4</f>
        <v>46966</v>
      </c>
      <c r="Y4" s="37">
        <f>Monthly!Y4</f>
        <v>46997</v>
      </c>
      <c r="Z4" s="37">
        <f>Monthly!Z4</f>
        <v>47027</v>
      </c>
      <c r="AA4" s="37">
        <f>Monthly!AA4</f>
        <v>47058</v>
      </c>
      <c r="AB4" s="37">
        <f>Monthly!AB4</f>
        <v>47088</v>
      </c>
      <c r="AC4" s="37">
        <f>Monthly!AC4</f>
        <v>47119</v>
      </c>
      <c r="AD4" s="37">
        <f>Monthly!AD4</f>
        <v>47150</v>
      </c>
      <c r="AE4" s="37">
        <f>Monthly!AE4</f>
        <v>47178</v>
      </c>
      <c r="AF4" s="37">
        <f>Monthly!AF4</f>
        <v>47209</v>
      </c>
      <c r="AG4" s="37">
        <f>Monthly!AG4</f>
        <v>47239</v>
      </c>
      <c r="AH4" s="37">
        <f>Monthly!AH4</f>
        <v>47270</v>
      </c>
      <c r="AI4" s="37">
        <f>Monthly!AI4</f>
        <v>47300</v>
      </c>
      <c r="AJ4" s="37">
        <f>Monthly!AJ4</f>
        <v>47331</v>
      </c>
      <c r="AK4" s="37">
        <f>Monthly!AK4</f>
        <v>47362</v>
      </c>
      <c r="AL4" s="37">
        <f>Monthly!AL4</f>
        <v>47392</v>
      </c>
      <c r="AM4" s="37">
        <f>Monthly!AM4</f>
        <v>47423</v>
      </c>
      <c r="AN4" s="37">
        <f>Monthly!AN4</f>
        <v>47453</v>
      </c>
      <c r="AO4" s="37">
        <f>Monthly!AO4</f>
        <v>47484</v>
      </c>
      <c r="AP4" s="37">
        <f>Monthly!AP4</f>
        <v>47515</v>
      </c>
      <c r="AQ4" s="37">
        <f>Monthly!AQ4</f>
        <v>47543</v>
      </c>
      <c r="AR4" s="37">
        <f>Monthly!AR4</f>
        <v>47574</v>
      </c>
      <c r="AS4" s="37">
        <f>Monthly!AS4</f>
        <v>47604</v>
      </c>
      <c r="AT4" s="37">
        <f>Monthly!AT4</f>
        <v>47635</v>
      </c>
      <c r="AU4" s="37">
        <f>Monthly!AU4</f>
        <v>47665</v>
      </c>
      <c r="AV4" s="37">
        <f>Monthly!AV4</f>
        <v>47696</v>
      </c>
      <c r="AW4" s="37">
        <f>Monthly!AW4</f>
        <v>47727</v>
      </c>
      <c r="AX4" s="37">
        <f>Monthly!AX4</f>
        <v>47757</v>
      </c>
      <c r="AY4" s="37">
        <f>Monthly!AY4</f>
        <v>47788</v>
      </c>
      <c r="AZ4" s="37">
        <f>Monthly!AZ4</f>
        <v>47818</v>
      </c>
      <c r="BA4" s="37">
        <f>Monthly!BA4</f>
        <v>47849</v>
      </c>
      <c r="BB4" s="37">
        <f>Monthly!BB4</f>
        <v>47880</v>
      </c>
      <c r="BC4" s="37">
        <f>Monthly!BC4</f>
        <v>47908</v>
      </c>
      <c r="BD4" s="37">
        <f>Monthly!BD4</f>
        <v>47939</v>
      </c>
      <c r="BE4" s="37">
        <f>Monthly!BE4</f>
        <v>47969</v>
      </c>
      <c r="BF4" s="37">
        <f>Monthly!BF4</f>
        <v>48000</v>
      </c>
      <c r="BG4" s="37">
        <f>Monthly!BG4</f>
        <v>48030</v>
      </c>
      <c r="BH4" s="37">
        <f>Monthly!BH4</f>
        <v>48061</v>
      </c>
      <c r="BI4" s="37">
        <f>Monthly!BI4</f>
        <v>48092</v>
      </c>
      <c r="BJ4" s="37">
        <f>Monthly!BJ4</f>
        <v>48122</v>
      </c>
      <c r="BK4" s="37">
        <f>Monthly!BK4</f>
        <v>48153</v>
      </c>
      <c r="BL4" s="37">
        <f>Monthly!BL4</f>
        <v>48183</v>
      </c>
      <c r="BN4" s="57">
        <f>start_year-1</f>
        <v>2026</v>
      </c>
      <c r="BO4" s="57">
        <f>start_year+0</f>
        <v>2027</v>
      </c>
      <c r="BP4" s="57">
        <f>start_year+1</f>
        <v>2028</v>
      </c>
      <c r="BQ4" s="57">
        <f>start_year+2</f>
        <v>2029</v>
      </c>
      <c r="BR4" s="57">
        <f>start_year+3</f>
        <v>2030</v>
      </c>
      <c r="BS4" s="57">
        <f>start_year+4</f>
        <v>2031</v>
      </c>
    </row>
    <row r="5" spans="1:71" x14ac:dyDescent="0.25">
      <c r="A5" s="21" t="s">
        <v>437</v>
      </c>
      <c r="D5" s="38">
        <f>Monthly!D5</f>
        <v>0</v>
      </c>
      <c r="E5" s="38">
        <f>Monthly!E5</f>
        <v>1</v>
      </c>
      <c r="F5" s="38">
        <f>Monthly!F5</f>
        <v>2</v>
      </c>
      <c r="G5" s="38">
        <f>Monthly!G5</f>
        <v>3</v>
      </c>
      <c r="H5" s="38">
        <f>Monthly!H5</f>
        <v>4</v>
      </c>
      <c r="I5" s="38">
        <f>Monthly!I5</f>
        <v>5</v>
      </c>
      <c r="J5" s="38">
        <f>Monthly!J5</f>
        <v>6</v>
      </c>
      <c r="K5" s="38">
        <f>Monthly!K5</f>
        <v>7</v>
      </c>
      <c r="L5" s="38">
        <f>Monthly!L5</f>
        <v>8</v>
      </c>
      <c r="M5" s="38">
        <f>Monthly!M5</f>
        <v>9</v>
      </c>
      <c r="N5" s="38">
        <f>Monthly!N5</f>
        <v>10</v>
      </c>
      <c r="O5" s="38">
        <f>Monthly!O5</f>
        <v>11</v>
      </c>
      <c r="P5" s="38">
        <f>Monthly!P5</f>
        <v>12</v>
      </c>
      <c r="Q5" s="38">
        <f>Monthly!Q5</f>
        <v>13</v>
      </c>
      <c r="R5" s="38">
        <f>Monthly!R5</f>
        <v>14</v>
      </c>
      <c r="S5" s="38">
        <f>Monthly!S5</f>
        <v>15</v>
      </c>
      <c r="T5" s="38">
        <f>Monthly!T5</f>
        <v>16</v>
      </c>
      <c r="U5" s="38">
        <f>Monthly!U5</f>
        <v>17</v>
      </c>
      <c r="V5" s="38">
        <f>Monthly!V5</f>
        <v>18</v>
      </c>
      <c r="W5" s="38">
        <f>Monthly!W5</f>
        <v>19</v>
      </c>
      <c r="X5" s="38">
        <f>Monthly!X5</f>
        <v>20</v>
      </c>
      <c r="Y5" s="38">
        <f>Monthly!Y5</f>
        <v>21</v>
      </c>
      <c r="Z5" s="38">
        <f>Monthly!Z5</f>
        <v>22</v>
      </c>
      <c r="AA5" s="38">
        <f>Monthly!AA5</f>
        <v>23</v>
      </c>
      <c r="AB5" s="38">
        <f>Monthly!AB5</f>
        <v>24</v>
      </c>
      <c r="AC5" s="38">
        <f>Monthly!AC5</f>
        <v>25</v>
      </c>
      <c r="AD5" s="38">
        <f>Monthly!AD5</f>
        <v>26</v>
      </c>
      <c r="AE5" s="38">
        <f>Monthly!AE5</f>
        <v>27</v>
      </c>
      <c r="AF5" s="38">
        <f>Monthly!AF5</f>
        <v>28</v>
      </c>
      <c r="AG5" s="38">
        <f>Monthly!AG5</f>
        <v>29</v>
      </c>
      <c r="AH5" s="38">
        <f>Monthly!AH5</f>
        <v>30</v>
      </c>
      <c r="AI5" s="38">
        <f>Monthly!AI5</f>
        <v>31</v>
      </c>
      <c r="AJ5" s="38">
        <f>Monthly!AJ5</f>
        <v>32</v>
      </c>
      <c r="AK5" s="38">
        <f>Monthly!AK5</f>
        <v>33</v>
      </c>
      <c r="AL5" s="38">
        <f>Monthly!AL5</f>
        <v>34</v>
      </c>
      <c r="AM5" s="38">
        <f>Monthly!AM5</f>
        <v>35</v>
      </c>
      <c r="AN5" s="38">
        <f>Monthly!AN5</f>
        <v>36</v>
      </c>
      <c r="AO5" s="38">
        <f>Monthly!AO5</f>
        <v>37</v>
      </c>
      <c r="AP5" s="38">
        <f>Monthly!AP5</f>
        <v>38</v>
      </c>
      <c r="AQ5" s="38">
        <f>Monthly!AQ5</f>
        <v>39</v>
      </c>
      <c r="AR5" s="38">
        <f>Monthly!AR5</f>
        <v>40</v>
      </c>
      <c r="AS5" s="38">
        <f>Monthly!AS5</f>
        <v>41</v>
      </c>
      <c r="AT5" s="38">
        <f>Monthly!AT5</f>
        <v>42</v>
      </c>
      <c r="AU5" s="38">
        <f>Monthly!AU5</f>
        <v>43</v>
      </c>
      <c r="AV5" s="38">
        <f>Monthly!AV5</f>
        <v>44</v>
      </c>
      <c r="AW5" s="38">
        <f>Monthly!AW5</f>
        <v>45</v>
      </c>
      <c r="AX5" s="38">
        <f>Monthly!AX5</f>
        <v>46</v>
      </c>
      <c r="AY5" s="38">
        <f>Monthly!AY5</f>
        <v>47</v>
      </c>
      <c r="AZ5" s="38">
        <f>Monthly!AZ5</f>
        <v>48</v>
      </c>
      <c r="BA5" s="38">
        <f>Monthly!BA5</f>
        <v>49</v>
      </c>
      <c r="BB5" s="38">
        <f>Monthly!BB5</f>
        <v>50</v>
      </c>
      <c r="BC5" s="38">
        <f>Monthly!BC5</f>
        <v>51</v>
      </c>
      <c r="BD5" s="38">
        <f>Monthly!BD5</f>
        <v>52</v>
      </c>
      <c r="BE5" s="38">
        <f>Monthly!BE5</f>
        <v>53</v>
      </c>
      <c r="BF5" s="38">
        <f>Monthly!BF5</f>
        <v>54</v>
      </c>
      <c r="BG5" s="38">
        <f>Monthly!BG5</f>
        <v>55</v>
      </c>
      <c r="BH5" s="38">
        <f>Monthly!BH5</f>
        <v>56</v>
      </c>
      <c r="BI5" s="38">
        <f>Monthly!BI5</f>
        <v>57</v>
      </c>
      <c r="BJ5" s="38">
        <f>Monthly!BJ5</f>
        <v>58</v>
      </c>
      <c r="BK5" s="38">
        <f>Monthly!BK5</f>
        <v>59</v>
      </c>
      <c r="BL5" s="38">
        <f>Monthly!BL5</f>
        <v>60</v>
      </c>
    </row>
    <row r="6" spans="1:71" x14ac:dyDescent="0.25">
      <c r="A6" s="21" t="s">
        <v>438</v>
      </c>
      <c r="D6" s="38">
        <f>Monthly!D6</f>
        <v>2026</v>
      </c>
      <c r="E6" s="38">
        <f>Monthly!E6</f>
        <v>2027</v>
      </c>
      <c r="F6" s="38">
        <f>Monthly!F6</f>
        <v>2027</v>
      </c>
      <c r="G6" s="38">
        <f>Monthly!G6</f>
        <v>2027</v>
      </c>
      <c r="H6" s="38">
        <f>Monthly!H6</f>
        <v>2027</v>
      </c>
      <c r="I6" s="38">
        <f>Monthly!I6</f>
        <v>2027</v>
      </c>
      <c r="J6" s="38">
        <f>Monthly!J6</f>
        <v>2027</v>
      </c>
      <c r="K6" s="38">
        <f>Monthly!K6</f>
        <v>2027</v>
      </c>
      <c r="L6" s="38">
        <f>Monthly!L6</f>
        <v>2027</v>
      </c>
      <c r="M6" s="38">
        <f>Monthly!M6</f>
        <v>2027</v>
      </c>
      <c r="N6" s="38">
        <f>Monthly!N6</f>
        <v>2027</v>
      </c>
      <c r="O6" s="38">
        <f>Monthly!O6</f>
        <v>2027</v>
      </c>
      <c r="P6" s="38">
        <f>Monthly!P6</f>
        <v>2027</v>
      </c>
      <c r="Q6" s="38">
        <f>Monthly!Q6</f>
        <v>2028</v>
      </c>
      <c r="R6" s="38">
        <f>Monthly!R6</f>
        <v>2028</v>
      </c>
      <c r="S6" s="38">
        <f>Monthly!S6</f>
        <v>2028</v>
      </c>
      <c r="T6" s="38">
        <f>Monthly!T6</f>
        <v>2028</v>
      </c>
      <c r="U6" s="38">
        <f>Monthly!U6</f>
        <v>2028</v>
      </c>
      <c r="V6" s="38">
        <f>Monthly!V6</f>
        <v>2028</v>
      </c>
      <c r="W6" s="38">
        <f>Monthly!W6</f>
        <v>2028</v>
      </c>
      <c r="X6" s="38">
        <f>Monthly!X6</f>
        <v>2028</v>
      </c>
      <c r="Y6" s="38">
        <f>Monthly!Y6</f>
        <v>2028</v>
      </c>
      <c r="Z6" s="38">
        <f>Monthly!Z6</f>
        <v>2028</v>
      </c>
      <c r="AA6" s="38">
        <f>Monthly!AA6</f>
        <v>2028</v>
      </c>
      <c r="AB6" s="38">
        <f>Monthly!AB6</f>
        <v>2028</v>
      </c>
      <c r="AC6" s="38">
        <f>Monthly!AC6</f>
        <v>2029</v>
      </c>
      <c r="AD6" s="38">
        <f>Monthly!AD6</f>
        <v>2029</v>
      </c>
      <c r="AE6" s="38">
        <f>Monthly!AE6</f>
        <v>2029</v>
      </c>
      <c r="AF6" s="38">
        <f>Monthly!AF6</f>
        <v>2029</v>
      </c>
      <c r="AG6" s="38">
        <f>Monthly!AG6</f>
        <v>2029</v>
      </c>
      <c r="AH6" s="38">
        <f>Monthly!AH6</f>
        <v>2029</v>
      </c>
      <c r="AI6" s="38">
        <f>Monthly!AI6</f>
        <v>2029</v>
      </c>
      <c r="AJ6" s="38">
        <f>Monthly!AJ6</f>
        <v>2029</v>
      </c>
      <c r="AK6" s="38">
        <f>Monthly!AK6</f>
        <v>2029</v>
      </c>
      <c r="AL6" s="38">
        <f>Monthly!AL6</f>
        <v>2029</v>
      </c>
      <c r="AM6" s="38">
        <f>Monthly!AM6</f>
        <v>2029</v>
      </c>
      <c r="AN6" s="38">
        <f>Monthly!AN6</f>
        <v>2029</v>
      </c>
      <c r="AO6" s="38">
        <f>Monthly!AO6</f>
        <v>2030</v>
      </c>
      <c r="AP6" s="38">
        <f>Monthly!AP6</f>
        <v>2030</v>
      </c>
      <c r="AQ6" s="38">
        <f>Monthly!AQ6</f>
        <v>2030</v>
      </c>
      <c r="AR6" s="38">
        <f>Monthly!AR6</f>
        <v>2030</v>
      </c>
      <c r="AS6" s="38">
        <f>Monthly!AS6</f>
        <v>2030</v>
      </c>
      <c r="AT6" s="38">
        <f>Monthly!AT6</f>
        <v>2030</v>
      </c>
      <c r="AU6" s="38">
        <f>Monthly!AU6</f>
        <v>2030</v>
      </c>
      <c r="AV6" s="38">
        <f>Monthly!AV6</f>
        <v>2030</v>
      </c>
      <c r="AW6" s="38">
        <f>Monthly!AW6</f>
        <v>2030</v>
      </c>
      <c r="AX6" s="38">
        <f>Monthly!AX6</f>
        <v>2030</v>
      </c>
      <c r="AY6" s="38">
        <f>Monthly!AY6</f>
        <v>2030</v>
      </c>
      <c r="AZ6" s="38">
        <f>Monthly!AZ6</f>
        <v>2030</v>
      </c>
      <c r="BA6" s="38">
        <f>Monthly!BA6</f>
        <v>2031</v>
      </c>
      <c r="BB6" s="38">
        <f>Monthly!BB6</f>
        <v>2031</v>
      </c>
      <c r="BC6" s="38">
        <f>Monthly!BC6</f>
        <v>2031</v>
      </c>
      <c r="BD6" s="38">
        <f>Monthly!BD6</f>
        <v>2031</v>
      </c>
      <c r="BE6" s="38">
        <f>Monthly!BE6</f>
        <v>2031</v>
      </c>
      <c r="BF6" s="38">
        <f>Monthly!BF6</f>
        <v>2031</v>
      </c>
      <c r="BG6" s="38">
        <f>Monthly!BG6</f>
        <v>2031</v>
      </c>
      <c r="BH6" s="38">
        <f>Monthly!BH6</f>
        <v>2031</v>
      </c>
      <c r="BI6" s="38">
        <f>Monthly!BI6</f>
        <v>2031</v>
      </c>
      <c r="BJ6" s="38">
        <f>Monthly!BJ6</f>
        <v>2031</v>
      </c>
      <c r="BK6" s="38">
        <f>Monthly!BK6</f>
        <v>2031</v>
      </c>
      <c r="BL6" s="38">
        <f>Monthly!BL6</f>
        <v>2031</v>
      </c>
    </row>
    <row r="8" spans="1:71" x14ac:dyDescent="0.25">
      <c r="A8" s="19" t="s">
        <v>609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N8" s="20"/>
      <c r="BO8" s="20"/>
      <c r="BP8" s="20"/>
      <c r="BQ8" s="20"/>
      <c r="BR8" s="20"/>
      <c r="BS8" s="20"/>
    </row>
    <row r="9" spans="1:71" x14ac:dyDescent="0.25">
      <c r="A9" s="8" t="s">
        <v>581</v>
      </c>
      <c r="B9" s="10" t="s">
        <v>83</v>
      </c>
      <c r="D9" s="58">
        <f>Monthly!D89</f>
        <v>250000</v>
      </c>
      <c r="E9" s="58">
        <f>Monthly!E89</f>
        <v>3692918</v>
      </c>
      <c r="F9" s="58">
        <f>Monthly!F89</f>
        <v>3592797.2686600001</v>
      </c>
      <c r="G9" s="58">
        <f>Monthly!G89</f>
        <v>3465185.8970042407</v>
      </c>
      <c r="H9" s="58">
        <f>Monthly!H89</f>
        <v>3332832.6320922035</v>
      </c>
      <c r="I9" s="58">
        <f>Monthly!I89</f>
        <v>3206561.0242036614</v>
      </c>
      <c r="J9" s="58">
        <f>Monthly!J89</f>
        <v>3061177.4641012684</v>
      </c>
      <c r="K9" s="58">
        <f>Monthly!K89</f>
        <v>2922036.7204419826</v>
      </c>
      <c r="L9" s="58">
        <f>Monthly!L89</f>
        <v>2775058.0190344043</v>
      </c>
      <c r="M9" s="58">
        <f>Monthly!M89</f>
        <v>2606648.9764771159</v>
      </c>
      <c r="N9" s="58">
        <f>Monthly!N89</f>
        <v>2440917.580389611</v>
      </c>
      <c r="O9" s="58">
        <f>Monthly!O89</f>
        <v>2271884.8673907514</v>
      </c>
      <c r="P9" s="58">
        <f>Monthly!P89</f>
        <v>2112399.9351450414</v>
      </c>
      <c r="Q9" s="58">
        <f>Monthly!Q89</f>
        <v>1925488.8918607405</v>
      </c>
      <c r="R9" s="58">
        <f>Monthly!R89</f>
        <v>1742525.4724695652</v>
      </c>
      <c r="S9" s="58">
        <f>Monthly!S89</f>
        <v>1557183.0981789837</v>
      </c>
      <c r="T9" s="58">
        <f>Monthly!T89</f>
        <v>1368281.826239452</v>
      </c>
      <c r="U9" s="58">
        <f>Monthly!U89</f>
        <v>1180726.0126834719</v>
      </c>
      <c r="V9" s="58">
        <f>Monthly!V89</f>
        <v>992392.77122583461</v>
      </c>
      <c r="W9" s="58">
        <f>Monthly!W89</f>
        <v>786253.42943325371</v>
      </c>
      <c r="X9" s="58">
        <f>Monthly!X89</f>
        <v>638505.1145233456</v>
      </c>
      <c r="Y9" s="58">
        <f>Monthly!Y89</f>
        <v>10449005.053754138</v>
      </c>
      <c r="Z9" s="58">
        <f>Monthly!Z89</f>
        <v>10240152.4079368</v>
      </c>
      <c r="AA9" s="58">
        <f>Monthly!AA89</f>
        <v>10052883.709447853</v>
      </c>
      <c r="AB9" s="58">
        <f>Monthly!AB89</f>
        <v>9883441.3092244714</v>
      </c>
      <c r="AC9" s="58">
        <f>Monthly!AC89</f>
        <v>9722357.3930663131</v>
      </c>
      <c r="AD9" s="58">
        <f>Monthly!AD89</f>
        <v>9565301.227864733</v>
      </c>
      <c r="AE9" s="58">
        <f>Monthly!AE89</f>
        <v>9420242.431550201</v>
      </c>
      <c r="AF9" s="58">
        <f>Monthly!AF89</f>
        <v>9251670.0271330662</v>
      </c>
      <c r="AG9" s="58">
        <f>Monthly!AG89</f>
        <v>9109135.023459075</v>
      </c>
      <c r="AH9" s="58">
        <f>Monthly!AH89</f>
        <v>8936030.8178709596</v>
      </c>
      <c r="AI9" s="58">
        <f>Monthly!AI89</f>
        <v>8724914.2533596791</v>
      </c>
      <c r="AJ9" s="58">
        <f>Monthly!AJ89</f>
        <v>8570759.7573599853</v>
      </c>
      <c r="AK9" s="58">
        <f>Monthly!AK89</f>
        <v>8423043.4703155216</v>
      </c>
      <c r="AL9" s="58">
        <f>Monthly!AL89</f>
        <v>8297743.2741393056</v>
      </c>
      <c r="AM9" s="58">
        <f>Monthly!AM89</f>
        <v>8191877.2205699049</v>
      </c>
      <c r="AN9" s="58">
        <f>Monthly!AN89</f>
        <v>8052681.0594236236</v>
      </c>
      <c r="AO9" s="58">
        <f>Monthly!AO89</f>
        <v>7943596.3287430098</v>
      </c>
      <c r="AP9" s="58">
        <f>Monthly!AP89</f>
        <v>7869101.7123016845</v>
      </c>
      <c r="AQ9" s="58">
        <f>Monthly!AQ89</f>
        <v>7796599.4627171643</v>
      </c>
      <c r="AR9" s="58">
        <f>Monthly!AR89</f>
        <v>7761562.3049901584</v>
      </c>
      <c r="AS9" s="58">
        <f>Monthly!AS89</f>
        <v>7741561.8199070683</v>
      </c>
      <c r="AT9" s="58">
        <f>Monthly!AT89</f>
        <v>7696414.0119501101</v>
      </c>
      <c r="AU9" s="58">
        <f>Monthly!AU89</f>
        <v>7707263.2082781335</v>
      </c>
      <c r="AV9" s="58">
        <f>Monthly!AV89</f>
        <v>7727440.4232075997</v>
      </c>
      <c r="AW9" s="58">
        <f>Monthly!AW89</f>
        <v>7756936.7427443825</v>
      </c>
      <c r="AX9" s="58">
        <f>Monthly!AX89</f>
        <v>7835064.4293421283</v>
      </c>
      <c r="AY9" s="58">
        <f>Monthly!AY89</f>
        <v>7942409.8049707618</v>
      </c>
      <c r="AZ9" s="58">
        <f>Monthly!AZ89</f>
        <v>8008858.6464980319</v>
      </c>
      <c r="BA9" s="58">
        <f>Monthly!BA89</f>
        <v>8151280.2222870896</v>
      </c>
      <c r="BB9" s="58">
        <f>Monthly!BB89</f>
        <v>8388505.7859129831</v>
      </c>
      <c r="BC9" s="58">
        <f>Monthly!BC89</f>
        <v>8684564.3095110394</v>
      </c>
      <c r="BD9" s="58">
        <f>Monthly!BD89</f>
        <v>9008610.0329116266</v>
      </c>
      <c r="BE9" s="58">
        <f>Monthly!BE89</f>
        <v>9407220.6921270471</v>
      </c>
      <c r="BF9" s="58">
        <f>Monthly!BF89</f>
        <v>9801905.7223671935</v>
      </c>
      <c r="BG9" s="58">
        <f>Monthly!BG89</f>
        <v>10248262.981961973</v>
      </c>
      <c r="BH9" s="58">
        <f>Monthly!BH89</f>
        <v>10758196.285830505</v>
      </c>
      <c r="BI9" s="58">
        <f>Monthly!BI89</f>
        <v>11301034.837461825</v>
      </c>
      <c r="BJ9" s="58">
        <f>Monthly!BJ89</f>
        <v>11912673.962497406</v>
      </c>
      <c r="BK9" s="58">
        <f>Monthly!BK89</f>
        <v>12576834.432605855</v>
      </c>
      <c r="BL9" s="58">
        <f>Monthly!BL89</f>
        <v>12940986.177740345</v>
      </c>
      <c r="BN9" s="50">
        <f t="shared" ref="BN9:BS14" si="0">INDEX($D9:$BL9,(BN$4-start_year+1)*12+1)</f>
        <v>250000</v>
      </c>
      <c r="BO9" s="50">
        <f t="shared" si="0"/>
        <v>2112399.9351450414</v>
      </c>
      <c r="BP9" s="50">
        <f t="shared" si="0"/>
        <v>9883441.3092244714</v>
      </c>
      <c r="BQ9" s="50">
        <f t="shared" si="0"/>
        <v>8052681.0594236236</v>
      </c>
      <c r="BR9" s="50">
        <f t="shared" si="0"/>
        <v>8008858.6464980319</v>
      </c>
      <c r="BS9" s="50">
        <f t="shared" si="0"/>
        <v>12940986.177740345</v>
      </c>
    </row>
    <row r="10" spans="1:71" x14ac:dyDescent="0.25">
      <c r="A10" s="8" t="s">
        <v>526</v>
      </c>
      <c r="B10" s="10" t="s">
        <v>83</v>
      </c>
      <c r="D10" s="58">
        <f>Monthly!D86</f>
        <v>18918</v>
      </c>
      <c r="E10" s="58">
        <f>Monthly!E86</f>
        <v>18918.196</v>
      </c>
      <c r="F10" s="58">
        <f>Monthly!F86</f>
        <v>25493.675124239999</v>
      </c>
      <c r="G10" s="58">
        <f>Monthly!G86</f>
        <v>32124.584803235586</v>
      </c>
      <c r="H10" s="58">
        <f>Monthly!H86</f>
        <v>38810.699988934452</v>
      </c>
      <c r="I10" s="58">
        <f>Monthly!I86</f>
        <v>45962.431546979373</v>
      </c>
      <c r="J10" s="58">
        <f>Monthly!J86</f>
        <v>53577.889074898638</v>
      </c>
      <c r="K10" s="58">
        <f>Monthly!K86</f>
        <v>62476.459845254547</v>
      </c>
      <c r="L10" s="58">
        <f>Monthly!L86</f>
        <v>71010.394418282813</v>
      </c>
      <c r="M10" s="58">
        <f>Monthly!M86</f>
        <v>80413.078216944588</v>
      </c>
      <c r="N10" s="58">
        <f>Monthly!N86</f>
        <v>91502.254119383782</v>
      </c>
      <c r="O10" s="58">
        <f>Monthly!O86</f>
        <v>103449.8049676591</v>
      </c>
      <c r="P10" s="58">
        <f>Monthly!P86</f>
        <v>116252.24575949041</v>
      </c>
      <c r="Q10" s="58">
        <f>Monthly!Q86</f>
        <v>135354.31016749164</v>
      </c>
      <c r="R10" s="58">
        <f>Monthly!R86</f>
        <v>150464.33237821161</v>
      </c>
      <c r="S10" s="58">
        <f>Monthly!S86</f>
        <v>166796.57844875607</v>
      </c>
      <c r="T10" s="58">
        <f>Monthly!T86</f>
        <v>185201.79985025412</v>
      </c>
      <c r="U10" s="58">
        <f>Monthly!U86</f>
        <v>205671.5803028621</v>
      </c>
      <c r="V10" s="58">
        <f>Monthly!V86</f>
        <v>227341.82399683242</v>
      </c>
      <c r="W10" s="58">
        <f>Monthly!W86</f>
        <v>250207.65705140535</v>
      </c>
      <c r="X10" s="58">
        <f>Monthly!X86</f>
        <v>271697.08427377662</v>
      </c>
      <c r="Y10" s="58">
        <f>Monthly!Y86</f>
        <v>293527.1212716251</v>
      </c>
      <c r="Z10" s="58">
        <f>Monthly!Z86</f>
        <v>316552.09886926232</v>
      </c>
      <c r="AA10" s="58">
        <f>Monthly!AA86</f>
        <v>340767.16560785309</v>
      </c>
      <c r="AB10" s="58">
        <f>Monthly!AB86</f>
        <v>366167.48972548521</v>
      </c>
      <c r="AC10" s="58">
        <f>Monthly!AC86</f>
        <v>409303.73256618896</v>
      </c>
      <c r="AD10" s="58">
        <f>Monthly!AD86</f>
        <v>438230.16789917031</v>
      </c>
      <c r="AE10" s="58">
        <f>Monthly!AE86</f>
        <v>469268.62316469965</v>
      </c>
      <c r="AF10" s="58">
        <f>Monthly!AF86</f>
        <v>502410.52356185095</v>
      </c>
      <c r="AG10" s="58">
        <f>Monthly!AG86</f>
        <v>538539.11360738974</v>
      </c>
      <c r="AH10" s="58">
        <f>Monthly!AH86</f>
        <v>576750.48283734382</v>
      </c>
      <c r="AI10" s="58">
        <f>Monthly!AI86</f>
        <v>617036.17516822414</v>
      </c>
      <c r="AJ10" s="58">
        <f>Monthly!AJ86</f>
        <v>659387.76884824119</v>
      </c>
      <c r="AK10" s="58">
        <f>Monthly!AK86</f>
        <v>703796.87631791749</v>
      </c>
      <c r="AL10" s="58">
        <f>Monthly!AL86</f>
        <v>750255.14407126675</v>
      </c>
      <c r="AM10" s="58">
        <f>Monthly!AM86</f>
        <v>798754.25251753756</v>
      </c>
      <c r="AN10" s="58">
        <f>Monthly!AN86</f>
        <v>849285.91584351624</v>
      </c>
      <c r="AO10" s="58">
        <f>Monthly!AO86</f>
        <v>939101.93180031329</v>
      </c>
      <c r="AP10" s="58">
        <f>Monthly!AP86</f>
        <v>994129.57966033206</v>
      </c>
      <c r="AQ10" s="58">
        <f>Monthly!AQ86</f>
        <v>1050328.1375852791</v>
      </c>
      <c r="AR10" s="58">
        <f>Monthly!AR86</f>
        <v>1108622.399890451</v>
      </c>
      <c r="AS10" s="58">
        <f>Monthly!AS86</f>
        <v>1169003.8580160637</v>
      </c>
      <c r="AT10" s="58">
        <f>Monthly!AT86</f>
        <v>1232393.5861572465</v>
      </c>
      <c r="AU10" s="58">
        <f>Monthly!AU86</f>
        <v>1298779.3707377363</v>
      </c>
      <c r="AV10" s="58">
        <f>Monthly!AV86</f>
        <v>1367219.499558229</v>
      </c>
      <c r="AW10" s="58">
        <f>Monthly!AW86</f>
        <v>1438635.1801912708</v>
      </c>
      <c r="AX10" s="58">
        <f>Monthly!AX86</f>
        <v>1513014.3318965021</v>
      </c>
      <c r="AY10" s="58">
        <f>Monthly!AY86</f>
        <v>1589415.3747712104</v>
      </c>
      <c r="AZ10" s="58">
        <f>Monthly!AZ86</f>
        <v>1667830.0999372473</v>
      </c>
      <c r="BA10" s="58">
        <f>Monthly!BA86</f>
        <v>1821617.9567690431</v>
      </c>
      <c r="BB10" s="58">
        <f>Monthly!BB86</f>
        <v>1904636.7157205297</v>
      </c>
      <c r="BC10" s="58">
        <f>Monthly!BC86</f>
        <v>1988772.0282832773</v>
      </c>
      <c r="BD10" s="58">
        <f>Monthly!BD86</f>
        <v>2074019.3612496241</v>
      </c>
      <c r="BE10" s="58">
        <f>Monthly!BE86</f>
        <v>2161343.2729984671</v>
      </c>
      <c r="BF10" s="58">
        <f>Monthly!BF86</f>
        <v>2250735.3326199502</v>
      </c>
      <c r="BG10" s="58">
        <f>Monthly!BG86</f>
        <v>2342187.1434337096</v>
      </c>
      <c r="BH10" s="58">
        <f>Monthly!BH86</f>
        <v>2435690.3428499056</v>
      </c>
      <c r="BI10" s="58">
        <f>Monthly!BI86</f>
        <v>2531236.602230812</v>
      </c>
      <c r="BJ10" s="58">
        <f>Monthly!BJ86</f>
        <v>2628817.6267529717</v>
      </c>
      <c r="BK10" s="58">
        <f>Monthly!BK86</f>
        <v>2728425.1552699115</v>
      </c>
      <c r="BL10" s="58">
        <f>Monthly!BL86</f>
        <v>2830050.9601754122</v>
      </c>
      <c r="BN10" s="50">
        <f t="shared" si="0"/>
        <v>18918</v>
      </c>
      <c r="BO10" s="50">
        <f t="shared" si="0"/>
        <v>116252.24575949041</v>
      </c>
      <c r="BP10" s="50">
        <f t="shared" si="0"/>
        <v>366167.48972548521</v>
      </c>
      <c r="BQ10" s="50">
        <f t="shared" si="0"/>
        <v>849285.91584351624</v>
      </c>
      <c r="BR10" s="50">
        <f t="shared" si="0"/>
        <v>1667830.0999372473</v>
      </c>
      <c r="BS10" s="50">
        <f t="shared" si="0"/>
        <v>2830050.9601754122</v>
      </c>
    </row>
    <row r="11" spans="1:71" x14ac:dyDescent="0.25">
      <c r="A11" s="8" t="s">
        <v>610</v>
      </c>
      <c r="B11" s="10" t="s">
        <v>83</v>
      </c>
      <c r="D11" s="50">
        <v>0</v>
      </c>
      <c r="E11" s="50">
        <f>D11+Monthly!E75</f>
        <v>0</v>
      </c>
      <c r="F11" s="50">
        <f>E11+Monthly!F75</f>
        <v>0</v>
      </c>
      <c r="G11" s="50">
        <f>F11+Monthly!G75</f>
        <v>5000</v>
      </c>
      <c r="H11" s="50">
        <f>G11+Monthly!H75</f>
        <v>7500</v>
      </c>
      <c r="I11" s="50">
        <f>H11+Monthly!I75</f>
        <v>7500</v>
      </c>
      <c r="J11" s="50">
        <f>I11+Monthly!J75</f>
        <v>12500</v>
      </c>
      <c r="K11" s="50">
        <f>J11+Monthly!K75</f>
        <v>12500</v>
      </c>
      <c r="L11" s="50">
        <f>K11+Monthly!L75</f>
        <v>15000</v>
      </c>
      <c r="M11" s="50">
        <f>L11+Monthly!M75</f>
        <v>20000</v>
      </c>
      <c r="N11" s="50">
        <f>M11+Monthly!N75</f>
        <v>20000</v>
      </c>
      <c r="O11" s="50">
        <f>N11+Monthly!O75</f>
        <v>22500</v>
      </c>
      <c r="P11" s="50">
        <f>O11+Monthly!P75</f>
        <v>22500</v>
      </c>
      <c r="Q11" s="50">
        <f>P11+Monthly!Q75</f>
        <v>27500</v>
      </c>
      <c r="R11" s="50">
        <f>Q11+Monthly!R75</f>
        <v>30000</v>
      </c>
      <c r="S11" s="50">
        <f>R11+Monthly!S75</f>
        <v>32500</v>
      </c>
      <c r="T11" s="50">
        <f>S11+Monthly!T75</f>
        <v>35000</v>
      </c>
      <c r="U11" s="50">
        <f>T11+Monthly!U75</f>
        <v>37500</v>
      </c>
      <c r="V11" s="50">
        <f>U11+Monthly!V75</f>
        <v>40000</v>
      </c>
      <c r="W11" s="50">
        <f>V11+Monthly!W75</f>
        <v>40000</v>
      </c>
      <c r="X11" s="50">
        <f>W11+Monthly!X75</f>
        <v>40000</v>
      </c>
      <c r="Y11" s="50">
        <f>X11+Monthly!Y75</f>
        <v>50000</v>
      </c>
      <c r="Z11" s="50">
        <f>Y11+Monthly!Z75</f>
        <v>57500</v>
      </c>
      <c r="AA11" s="50">
        <f>Z11+Monthly!AA75</f>
        <v>57500</v>
      </c>
      <c r="AB11" s="50">
        <f>AA11+Monthly!AB75</f>
        <v>57500</v>
      </c>
      <c r="AC11" s="50">
        <f>AB11+Monthly!AC75</f>
        <v>57500</v>
      </c>
      <c r="AD11" s="50">
        <f>AC11+Monthly!AD75</f>
        <v>62500</v>
      </c>
      <c r="AE11" s="50">
        <f>AD11+Monthly!AE75</f>
        <v>65000</v>
      </c>
      <c r="AF11" s="50">
        <f>AE11+Monthly!AF75</f>
        <v>72500</v>
      </c>
      <c r="AG11" s="50">
        <f>AF11+Monthly!AG75</f>
        <v>72500</v>
      </c>
      <c r="AH11" s="50">
        <f>AG11+Monthly!AH75</f>
        <v>82500</v>
      </c>
      <c r="AI11" s="50">
        <f>AH11+Monthly!AI75</f>
        <v>85000</v>
      </c>
      <c r="AJ11" s="50">
        <f>AI11+Monthly!AJ75</f>
        <v>90000</v>
      </c>
      <c r="AK11" s="50">
        <f>AJ11+Monthly!AK75</f>
        <v>95000</v>
      </c>
      <c r="AL11" s="50">
        <f>AK11+Monthly!AL75</f>
        <v>97500</v>
      </c>
      <c r="AM11" s="50">
        <f>AL11+Monthly!AM75</f>
        <v>100000</v>
      </c>
      <c r="AN11" s="50">
        <f>AM11+Monthly!AN75</f>
        <v>112500</v>
      </c>
      <c r="AO11" s="50">
        <f>AN11+Monthly!AO75</f>
        <v>112500</v>
      </c>
      <c r="AP11" s="50">
        <f>AO11+Monthly!AP75</f>
        <v>120000</v>
      </c>
      <c r="AQ11" s="50">
        <f>AP11+Monthly!AQ75</f>
        <v>127500</v>
      </c>
      <c r="AR11" s="50">
        <f>AQ11+Monthly!AR75</f>
        <v>130000</v>
      </c>
      <c r="AS11" s="50">
        <f>AR11+Monthly!AS75</f>
        <v>135000</v>
      </c>
      <c r="AT11" s="50">
        <f>AS11+Monthly!AT75</f>
        <v>147500</v>
      </c>
      <c r="AU11" s="50">
        <f>AT11+Monthly!AU75</f>
        <v>147500</v>
      </c>
      <c r="AV11" s="50">
        <f>AU11+Monthly!AV75</f>
        <v>155000</v>
      </c>
      <c r="AW11" s="50">
        <f>AV11+Monthly!AW75</f>
        <v>162500</v>
      </c>
      <c r="AX11" s="50">
        <f>AW11+Monthly!AX75</f>
        <v>165000</v>
      </c>
      <c r="AY11" s="50">
        <f>AX11+Monthly!AY75</f>
        <v>170000</v>
      </c>
      <c r="AZ11" s="50">
        <f>AY11+Monthly!AZ75</f>
        <v>182500</v>
      </c>
      <c r="BA11" s="50">
        <f>AZ11+Monthly!BA75</f>
        <v>182500</v>
      </c>
      <c r="BB11" s="50">
        <f>BA11+Monthly!BB75</f>
        <v>190000</v>
      </c>
      <c r="BC11" s="50">
        <f>BB11+Monthly!BC75</f>
        <v>192500</v>
      </c>
      <c r="BD11" s="50">
        <f>BC11+Monthly!BD75</f>
        <v>200000</v>
      </c>
      <c r="BE11" s="50">
        <f>BD11+Monthly!BE75</f>
        <v>200000</v>
      </c>
      <c r="BF11" s="50">
        <f>BE11+Monthly!BF75</f>
        <v>212500</v>
      </c>
      <c r="BG11" s="50">
        <f>BF11+Monthly!BG75</f>
        <v>217500</v>
      </c>
      <c r="BH11" s="50">
        <f>BG11+Monthly!BH75</f>
        <v>220000</v>
      </c>
      <c r="BI11" s="50">
        <f>BH11+Monthly!BI75</f>
        <v>227500</v>
      </c>
      <c r="BJ11" s="50">
        <f>BI11+Monthly!BJ75</f>
        <v>230000</v>
      </c>
      <c r="BK11" s="50">
        <f>BJ11+Monthly!BK75</f>
        <v>235000</v>
      </c>
      <c r="BL11" s="50">
        <f>BK11+Monthly!BL75</f>
        <v>247500</v>
      </c>
      <c r="BN11" s="50">
        <f t="shared" si="0"/>
        <v>0</v>
      </c>
      <c r="BO11" s="50">
        <f t="shared" si="0"/>
        <v>22500</v>
      </c>
      <c r="BP11" s="50">
        <f t="shared" si="0"/>
        <v>57500</v>
      </c>
      <c r="BQ11" s="50">
        <f t="shared" si="0"/>
        <v>112500</v>
      </c>
      <c r="BR11" s="50">
        <f t="shared" si="0"/>
        <v>182500</v>
      </c>
      <c r="BS11" s="50">
        <f t="shared" si="0"/>
        <v>247500</v>
      </c>
    </row>
    <row r="12" spans="1:71" x14ac:dyDescent="0.25">
      <c r="A12" s="8" t="s">
        <v>611</v>
      </c>
      <c r="B12" s="10" t="s">
        <v>83</v>
      </c>
      <c r="D12" s="50">
        <v>0</v>
      </c>
      <c r="E12" s="50">
        <f>D12-Monthly!E76</f>
        <v>0</v>
      </c>
      <c r="F12" s="50">
        <f>E12-Monthly!F76</f>
        <v>0</v>
      </c>
      <c r="G12" s="50">
        <f>F12-Monthly!G76</f>
        <v>-138.88888888888889</v>
      </c>
      <c r="H12" s="50">
        <f>G12-Monthly!H76</f>
        <v>-347.22222222222223</v>
      </c>
      <c r="I12" s="50">
        <f>H12-Monthly!I76</f>
        <v>-555.55555555555554</v>
      </c>
      <c r="J12" s="50">
        <f>I12-Monthly!J76</f>
        <v>-902.77777777777783</v>
      </c>
      <c r="K12" s="50">
        <f>J12-Monthly!K76</f>
        <v>-1250</v>
      </c>
      <c r="L12" s="50">
        <f>K12-Monthly!L76</f>
        <v>-1666.6666666666667</v>
      </c>
      <c r="M12" s="50">
        <f>L12-Monthly!M76</f>
        <v>-2222.2222222222222</v>
      </c>
      <c r="N12" s="50">
        <f>M12-Monthly!N76</f>
        <v>-2777.7777777777778</v>
      </c>
      <c r="O12" s="50">
        <f>N12-Monthly!O76</f>
        <v>-3402.7777777777778</v>
      </c>
      <c r="P12" s="50">
        <f>O12-Monthly!P76</f>
        <v>-4027.7777777777778</v>
      </c>
      <c r="Q12" s="50">
        <f>P12-Monthly!Q76</f>
        <v>-4791.666666666667</v>
      </c>
      <c r="R12" s="50">
        <f>Q12-Monthly!R76</f>
        <v>-5625</v>
      </c>
      <c r="S12" s="50">
        <f>R12-Monthly!S76</f>
        <v>-6527.7777777777774</v>
      </c>
      <c r="T12" s="50">
        <f>S12-Monthly!T76</f>
        <v>-7500</v>
      </c>
      <c r="U12" s="50">
        <f>T12-Monthly!U76</f>
        <v>-8541.6666666666661</v>
      </c>
      <c r="V12" s="50">
        <f>U12-Monthly!V76</f>
        <v>-9652.7777777777774</v>
      </c>
      <c r="W12" s="50">
        <f>V12-Monthly!W76</f>
        <v>-10763.888888888889</v>
      </c>
      <c r="X12" s="50">
        <f>W12-Monthly!X76</f>
        <v>-11875</v>
      </c>
      <c r="Y12" s="50">
        <f>X12-Monthly!Y76</f>
        <v>-13263.888888888889</v>
      </c>
      <c r="Z12" s="50">
        <f>Y12-Monthly!Z76</f>
        <v>-14861.111111111111</v>
      </c>
      <c r="AA12" s="50">
        <f>Z12-Monthly!AA76</f>
        <v>-16458.333333333332</v>
      </c>
      <c r="AB12" s="50">
        <f>AA12-Monthly!AB76</f>
        <v>-18055.555555555555</v>
      </c>
      <c r="AC12" s="50">
        <f>AB12-Monthly!AC76</f>
        <v>-19652.777777777777</v>
      </c>
      <c r="AD12" s="50">
        <f>AC12-Monthly!AD76</f>
        <v>-21388.888888888887</v>
      </c>
      <c r="AE12" s="50">
        <f>AD12-Monthly!AE76</f>
        <v>-23194.444444444442</v>
      </c>
      <c r="AF12" s="50">
        <f>AE12-Monthly!AF76</f>
        <v>-25208.333333333332</v>
      </c>
      <c r="AG12" s="50">
        <f>AF12-Monthly!AG76</f>
        <v>-27222.222222222223</v>
      </c>
      <c r="AH12" s="50">
        <f>AG12-Monthly!AH76</f>
        <v>-29513.888888888891</v>
      </c>
      <c r="AI12" s="50">
        <f>AH12-Monthly!AI76</f>
        <v>-31875</v>
      </c>
      <c r="AJ12" s="50">
        <f>AI12-Monthly!AJ76</f>
        <v>-34375</v>
      </c>
      <c r="AK12" s="50">
        <f>AJ12-Monthly!AK76</f>
        <v>-37013.888888888891</v>
      </c>
      <c r="AL12" s="50">
        <f>AK12-Monthly!AL76</f>
        <v>-39722.222222222226</v>
      </c>
      <c r="AM12" s="50">
        <f>AL12-Monthly!AM76</f>
        <v>-42500.000000000007</v>
      </c>
      <c r="AN12" s="50">
        <f>AM12-Monthly!AN76</f>
        <v>-45625.000000000007</v>
      </c>
      <c r="AO12" s="50">
        <f>AN12-Monthly!AO76</f>
        <v>-48750.000000000007</v>
      </c>
      <c r="AP12" s="50">
        <f>AO12-Monthly!AP76</f>
        <v>-52083.333333333343</v>
      </c>
      <c r="AQ12" s="50">
        <f>AP12-Monthly!AQ76</f>
        <v>-55486.111111111124</v>
      </c>
      <c r="AR12" s="50">
        <f>AQ12-Monthly!AR76</f>
        <v>-58888.888888888905</v>
      </c>
      <c r="AS12" s="50">
        <f>AR12-Monthly!AS76</f>
        <v>-62430.555555555569</v>
      </c>
      <c r="AT12" s="50">
        <f>AS12-Monthly!AT76</f>
        <v>-66180.555555555562</v>
      </c>
      <c r="AU12" s="50">
        <f>AT12-Monthly!AU76</f>
        <v>-69930.555555555562</v>
      </c>
      <c r="AV12" s="50">
        <f>AU12-Monthly!AV76</f>
        <v>-73819.444444444453</v>
      </c>
      <c r="AW12" s="50">
        <f>AV12-Monthly!AW76</f>
        <v>-77777.777777777781</v>
      </c>
      <c r="AX12" s="50">
        <f>AW12-Monthly!AX76</f>
        <v>-81805.555555555562</v>
      </c>
      <c r="AY12" s="50">
        <f>AX12-Monthly!AY76</f>
        <v>-85902.777777777781</v>
      </c>
      <c r="AZ12" s="50">
        <f>AY12-Monthly!AZ76</f>
        <v>-90347.222222222219</v>
      </c>
      <c r="BA12" s="50">
        <f>AZ12-Monthly!BA76</f>
        <v>-94652.777777777781</v>
      </c>
      <c r="BB12" s="50">
        <f>BA12-Monthly!BB76</f>
        <v>-99097.222222222219</v>
      </c>
      <c r="BC12" s="50">
        <f>BB12-Monthly!BC76</f>
        <v>-103541.66666666666</v>
      </c>
      <c r="BD12" s="50">
        <f>BC12-Monthly!BD76</f>
        <v>-108124.99999999999</v>
      </c>
      <c r="BE12" s="50">
        <f>BD12-Monthly!BE76</f>
        <v>-112638.88888888888</v>
      </c>
      <c r="BF12" s="50">
        <f>BE12-Monthly!BF76</f>
        <v>-117430.55555555555</v>
      </c>
      <c r="BG12" s="50">
        <f>BF12-Monthly!BG76</f>
        <v>-122361.11111111111</v>
      </c>
      <c r="BH12" s="50">
        <f>BG12-Monthly!BH76</f>
        <v>-127361.11111111111</v>
      </c>
      <c r="BI12" s="50">
        <f>BH12-Monthly!BI76</f>
        <v>-132291.66666666666</v>
      </c>
      <c r="BJ12" s="50">
        <f>BI12-Monthly!BJ76</f>
        <v>-137083.33333333331</v>
      </c>
      <c r="BK12" s="50">
        <f>BJ12-Monthly!BK76</f>
        <v>-142013.88888888888</v>
      </c>
      <c r="BL12" s="50">
        <f>BK12-Monthly!BL76</f>
        <v>-147291.66666666666</v>
      </c>
      <c r="BN12" s="50">
        <f t="shared" si="0"/>
        <v>0</v>
      </c>
      <c r="BO12" s="50">
        <f t="shared" si="0"/>
        <v>-4027.7777777777778</v>
      </c>
      <c r="BP12" s="50">
        <f t="shared" si="0"/>
        <v>-18055.555555555555</v>
      </c>
      <c r="BQ12" s="50">
        <f t="shared" si="0"/>
        <v>-45625.000000000007</v>
      </c>
      <c r="BR12" s="50">
        <f t="shared" si="0"/>
        <v>-90347.222222222219</v>
      </c>
      <c r="BS12" s="50">
        <f t="shared" si="0"/>
        <v>-147291.66666666666</v>
      </c>
    </row>
    <row r="13" spans="1:71" x14ac:dyDescent="0.25">
      <c r="A13" s="8" t="s">
        <v>612</v>
      </c>
      <c r="B13" s="10" t="s">
        <v>83</v>
      </c>
      <c r="D13" s="50">
        <f t="shared" ref="D13:AI13" si="1">D11+D12</f>
        <v>0</v>
      </c>
      <c r="E13" s="50">
        <f t="shared" si="1"/>
        <v>0</v>
      </c>
      <c r="F13" s="50">
        <f t="shared" si="1"/>
        <v>0</v>
      </c>
      <c r="G13" s="50">
        <f t="shared" si="1"/>
        <v>4861.1111111111113</v>
      </c>
      <c r="H13" s="50">
        <f t="shared" si="1"/>
        <v>7152.7777777777774</v>
      </c>
      <c r="I13" s="50">
        <f t="shared" si="1"/>
        <v>6944.4444444444443</v>
      </c>
      <c r="J13" s="50">
        <f t="shared" si="1"/>
        <v>11597.222222222223</v>
      </c>
      <c r="K13" s="50">
        <f t="shared" si="1"/>
        <v>11250</v>
      </c>
      <c r="L13" s="50">
        <f t="shared" si="1"/>
        <v>13333.333333333334</v>
      </c>
      <c r="M13" s="50">
        <f t="shared" si="1"/>
        <v>17777.777777777777</v>
      </c>
      <c r="N13" s="50">
        <f t="shared" si="1"/>
        <v>17222.222222222223</v>
      </c>
      <c r="O13" s="50">
        <f t="shared" si="1"/>
        <v>19097.222222222223</v>
      </c>
      <c r="P13" s="50">
        <f t="shared" si="1"/>
        <v>18472.222222222223</v>
      </c>
      <c r="Q13" s="50">
        <f t="shared" si="1"/>
        <v>22708.333333333332</v>
      </c>
      <c r="R13" s="50">
        <f t="shared" si="1"/>
        <v>24375</v>
      </c>
      <c r="S13" s="50">
        <f t="shared" si="1"/>
        <v>25972.222222222223</v>
      </c>
      <c r="T13" s="50">
        <f t="shared" si="1"/>
        <v>27500</v>
      </c>
      <c r="U13" s="50">
        <f t="shared" si="1"/>
        <v>28958.333333333336</v>
      </c>
      <c r="V13" s="50">
        <f t="shared" si="1"/>
        <v>30347.222222222223</v>
      </c>
      <c r="W13" s="50">
        <f t="shared" si="1"/>
        <v>29236.111111111109</v>
      </c>
      <c r="X13" s="50">
        <f t="shared" si="1"/>
        <v>28125</v>
      </c>
      <c r="Y13" s="50">
        <f t="shared" si="1"/>
        <v>36736.111111111109</v>
      </c>
      <c r="Z13" s="50">
        <f t="shared" si="1"/>
        <v>42638.888888888891</v>
      </c>
      <c r="AA13" s="50">
        <f t="shared" si="1"/>
        <v>41041.666666666672</v>
      </c>
      <c r="AB13" s="50">
        <f t="shared" si="1"/>
        <v>39444.444444444445</v>
      </c>
      <c r="AC13" s="50">
        <f t="shared" si="1"/>
        <v>37847.222222222219</v>
      </c>
      <c r="AD13" s="50">
        <f t="shared" si="1"/>
        <v>41111.111111111109</v>
      </c>
      <c r="AE13" s="50">
        <f t="shared" si="1"/>
        <v>41805.555555555562</v>
      </c>
      <c r="AF13" s="50">
        <f t="shared" si="1"/>
        <v>47291.666666666672</v>
      </c>
      <c r="AG13" s="50">
        <f t="shared" si="1"/>
        <v>45277.777777777781</v>
      </c>
      <c r="AH13" s="50">
        <f t="shared" si="1"/>
        <v>52986.111111111109</v>
      </c>
      <c r="AI13" s="50">
        <f t="shared" si="1"/>
        <v>53125</v>
      </c>
      <c r="AJ13" s="50">
        <f t="shared" ref="AJ13:BO13" si="2">AJ11+AJ12</f>
        <v>55625</v>
      </c>
      <c r="AK13" s="50">
        <f t="shared" si="2"/>
        <v>57986.111111111109</v>
      </c>
      <c r="AL13" s="50">
        <f t="shared" si="2"/>
        <v>57777.777777777774</v>
      </c>
      <c r="AM13" s="50">
        <f t="shared" si="2"/>
        <v>57499.999999999993</v>
      </c>
      <c r="AN13" s="50">
        <f t="shared" si="2"/>
        <v>66875</v>
      </c>
      <c r="AO13" s="50">
        <f t="shared" si="2"/>
        <v>63749.999999999993</v>
      </c>
      <c r="AP13" s="50">
        <f t="shared" si="2"/>
        <v>67916.666666666657</v>
      </c>
      <c r="AQ13" s="50">
        <f t="shared" si="2"/>
        <v>72013.888888888876</v>
      </c>
      <c r="AR13" s="50">
        <f t="shared" si="2"/>
        <v>71111.111111111095</v>
      </c>
      <c r="AS13" s="50">
        <f t="shared" si="2"/>
        <v>72569.444444444438</v>
      </c>
      <c r="AT13" s="50">
        <f t="shared" si="2"/>
        <v>81319.444444444438</v>
      </c>
      <c r="AU13" s="50">
        <f t="shared" si="2"/>
        <v>77569.444444444438</v>
      </c>
      <c r="AV13" s="50">
        <f t="shared" si="2"/>
        <v>81180.555555555547</v>
      </c>
      <c r="AW13" s="50">
        <f t="shared" si="2"/>
        <v>84722.222222222219</v>
      </c>
      <c r="AX13" s="50">
        <f t="shared" si="2"/>
        <v>83194.444444444438</v>
      </c>
      <c r="AY13" s="50">
        <f t="shared" si="2"/>
        <v>84097.222222222219</v>
      </c>
      <c r="AZ13" s="50">
        <f t="shared" si="2"/>
        <v>92152.777777777781</v>
      </c>
      <c r="BA13" s="50">
        <f t="shared" si="2"/>
        <v>87847.222222222219</v>
      </c>
      <c r="BB13" s="50">
        <f t="shared" si="2"/>
        <v>90902.777777777781</v>
      </c>
      <c r="BC13" s="50">
        <f t="shared" si="2"/>
        <v>88958.333333333343</v>
      </c>
      <c r="BD13" s="50">
        <f t="shared" si="2"/>
        <v>91875.000000000015</v>
      </c>
      <c r="BE13" s="50">
        <f t="shared" si="2"/>
        <v>87361.111111111124</v>
      </c>
      <c r="BF13" s="50">
        <f t="shared" si="2"/>
        <v>95069.444444444453</v>
      </c>
      <c r="BG13" s="50">
        <f t="shared" si="2"/>
        <v>95138.888888888891</v>
      </c>
      <c r="BH13" s="50">
        <f t="shared" si="2"/>
        <v>92638.888888888891</v>
      </c>
      <c r="BI13" s="50">
        <f t="shared" si="2"/>
        <v>95208.333333333343</v>
      </c>
      <c r="BJ13" s="50">
        <f t="shared" si="2"/>
        <v>92916.666666666686</v>
      </c>
      <c r="BK13" s="50">
        <f t="shared" si="2"/>
        <v>92986.111111111124</v>
      </c>
      <c r="BL13" s="50">
        <f t="shared" si="2"/>
        <v>100208.33333333334</v>
      </c>
      <c r="BN13" s="50">
        <f t="shared" si="0"/>
        <v>0</v>
      </c>
      <c r="BO13" s="50">
        <f t="shared" si="0"/>
        <v>18472.222222222223</v>
      </c>
      <c r="BP13" s="50">
        <f t="shared" si="0"/>
        <v>39444.444444444445</v>
      </c>
      <c r="BQ13" s="50">
        <f t="shared" si="0"/>
        <v>66875</v>
      </c>
      <c r="BR13" s="50">
        <f t="shared" si="0"/>
        <v>92152.777777777781</v>
      </c>
      <c r="BS13" s="50">
        <f t="shared" si="0"/>
        <v>100208.33333333334</v>
      </c>
    </row>
    <row r="14" spans="1:71" x14ac:dyDescent="0.25">
      <c r="A14" s="44" t="s">
        <v>613</v>
      </c>
      <c r="B14" s="10" t="s">
        <v>83</v>
      </c>
      <c r="D14" s="52">
        <f t="shared" ref="D14:AI14" si="3">D9+D10+D13</f>
        <v>268918</v>
      </c>
      <c r="E14" s="51">
        <f t="shared" si="3"/>
        <v>3711836.196</v>
      </c>
      <c r="F14" s="51">
        <f t="shared" si="3"/>
        <v>3618290.9437842402</v>
      </c>
      <c r="G14" s="51">
        <f t="shared" si="3"/>
        <v>3502171.5929185874</v>
      </c>
      <c r="H14" s="51">
        <f t="shared" si="3"/>
        <v>3378796.1098589161</v>
      </c>
      <c r="I14" s="51">
        <f t="shared" si="3"/>
        <v>3259467.9001950854</v>
      </c>
      <c r="J14" s="51">
        <f t="shared" si="3"/>
        <v>3126352.5753983893</v>
      </c>
      <c r="K14" s="51">
        <f t="shared" si="3"/>
        <v>2995763.1802872373</v>
      </c>
      <c r="L14" s="51">
        <f t="shared" si="3"/>
        <v>2859401.7467860207</v>
      </c>
      <c r="M14" s="51">
        <f t="shared" si="3"/>
        <v>2704839.8324718382</v>
      </c>
      <c r="N14" s="51">
        <f t="shared" si="3"/>
        <v>2549642.0567312166</v>
      </c>
      <c r="O14" s="51">
        <f t="shared" si="3"/>
        <v>2394431.8945806324</v>
      </c>
      <c r="P14" s="51">
        <f t="shared" si="3"/>
        <v>2247124.4031267539</v>
      </c>
      <c r="Q14" s="51">
        <f t="shared" si="3"/>
        <v>2083551.5353615654</v>
      </c>
      <c r="R14" s="51">
        <f t="shared" si="3"/>
        <v>1917364.8048477769</v>
      </c>
      <c r="S14" s="51">
        <f t="shared" si="3"/>
        <v>1749951.898849962</v>
      </c>
      <c r="T14" s="51">
        <f t="shared" si="3"/>
        <v>1580983.6260897061</v>
      </c>
      <c r="U14" s="51">
        <f t="shared" si="3"/>
        <v>1415355.9263196674</v>
      </c>
      <c r="V14" s="51">
        <f t="shared" si="3"/>
        <v>1250081.8174448893</v>
      </c>
      <c r="W14" s="51">
        <f t="shared" si="3"/>
        <v>1065697.19759577</v>
      </c>
      <c r="X14" s="51">
        <f t="shared" si="3"/>
        <v>938327.19879712223</v>
      </c>
      <c r="Y14" s="51">
        <f t="shared" si="3"/>
        <v>10779268.286136875</v>
      </c>
      <c r="Z14" s="51">
        <f t="shared" si="3"/>
        <v>10599343.395694951</v>
      </c>
      <c r="AA14" s="51">
        <f t="shared" si="3"/>
        <v>10434692.541722372</v>
      </c>
      <c r="AB14" s="51">
        <f t="shared" si="3"/>
        <v>10289053.243394401</v>
      </c>
      <c r="AC14" s="51">
        <f t="shared" si="3"/>
        <v>10169508.347854724</v>
      </c>
      <c r="AD14" s="51">
        <f t="shared" si="3"/>
        <v>10044642.506875016</v>
      </c>
      <c r="AE14" s="51">
        <f t="shared" si="3"/>
        <v>9931316.6102704573</v>
      </c>
      <c r="AF14" s="51">
        <f t="shared" si="3"/>
        <v>9801372.2173615824</v>
      </c>
      <c r="AG14" s="51">
        <f t="shared" si="3"/>
        <v>9692951.9148442429</v>
      </c>
      <c r="AH14" s="51">
        <f t="shared" si="3"/>
        <v>9565767.4118194152</v>
      </c>
      <c r="AI14" s="51">
        <f t="shared" si="3"/>
        <v>9395075.4285279028</v>
      </c>
      <c r="AJ14" s="51">
        <f t="shared" ref="AJ14:BO14" si="4">AJ9+AJ10+AJ13</f>
        <v>9285772.5262082256</v>
      </c>
      <c r="AK14" s="51">
        <f t="shared" si="4"/>
        <v>9184826.4577445518</v>
      </c>
      <c r="AL14" s="51">
        <f t="shared" si="4"/>
        <v>9105776.1959883496</v>
      </c>
      <c r="AM14" s="51">
        <f t="shared" si="4"/>
        <v>9048131.473087443</v>
      </c>
      <c r="AN14" s="51">
        <f t="shared" si="4"/>
        <v>8968841.9752671402</v>
      </c>
      <c r="AO14" s="51">
        <f t="shared" si="4"/>
        <v>8946448.2605433241</v>
      </c>
      <c r="AP14" s="51">
        <f t="shared" si="4"/>
        <v>8931147.9586286824</v>
      </c>
      <c r="AQ14" s="51">
        <f t="shared" si="4"/>
        <v>8918941.489191331</v>
      </c>
      <c r="AR14" s="51">
        <f t="shared" si="4"/>
        <v>8941295.815991722</v>
      </c>
      <c r="AS14" s="51">
        <f t="shared" si="4"/>
        <v>8983135.1223675758</v>
      </c>
      <c r="AT14" s="51">
        <f t="shared" si="4"/>
        <v>9010127.0425518006</v>
      </c>
      <c r="AU14" s="51">
        <f t="shared" si="4"/>
        <v>9083612.0234603137</v>
      </c>
      <c r="AV14" s="51">
        <f t="shared" si="4"/>
        <v>9175840.4783213846</v>
      </c>
      <c r="AW14" s="51">
        <f t="shared" si="4"/>
        <v>9280294.1451578755</v>
      </c>
      <c r="AX14" s="51">
        <f t="shared" si="4"/>
        <v>9431273.2056830749</v>
      </c>
      <c r="AY14" s="51">
        <f t="shared" si="4"/>
        <v>9615922.4019641932</v>
      </c>
      <c r="AZ14" s="51">
        <f t="shared" si="4"/>
        <v>9768841.524213057</v>
      </c>
      <c r="BA14" s="51">
        <f t="shared" si="4"/>
        <v>10060745.401278354</v>
      </c>
      <c r="BB14" s="51">
        <f t="shared" si="4"/>
        <v>10384045.279411292</v>
      </c>
      <c r="BC14" s="51">
        <f t="shared" si="4"/>
        <v>10762294.671127651</v>
      </c>
      <c r="BD14" s="51">
        <f t="shared" si="4"/>
        <v>11174504.39416125</v>
      </c>
      <c r="BE14" s="51">
        <f t="shared" si="4"/>
        <v>11655925.076236626</v>
      </c>
      <c r="BF14" s="51">
        <f t="shared" si="4"/>
        <v>12147710.499431588</v>
      </c>
      <c r="BG14" s="51">
        <f t="shared" si="4"/>
        <v>12685589.01428457</v>
      </c>
      <c r="BH14" s="51">
        <f t="shared" si="4"/>
        <v>13286525.5175693</v>
      </c>
      <c r="BI14" s="51">
        <f t="shared" si="4"/>
        <v>13927479.773025971</v>
      </c>
      <c r="BJ14" s="51">
        <f t="shared" si="4"/>
        <v>14634408.255917044</v>
      </c>
      <c r="BK14" s="51">
        <f t="shared" si="4"/>
        <v>15398245.698986879</v>
      </c>
      <c r="BL14" s="51">
        <f t="shared" si="4"/>
        <v>15871245.471249091</v>
      </c>
      <c r="BN14" s="51">
        <f t="shared" si="0"/>
        <v>268918</v>
      </c>
      <c r="BO14" s="51">
        <f t="shared" si="0"/>
        <v>2247124.4031267539</v>
      </c>
      <c r="BP14" s="51">
        <f t="shared" si="0"/>
        <v>10289053.243394401</v>
      </c>
      <c r="BQ14" s="51">
        <f t="shared" si="0"/>
        <v>8968841.9752671402</v>
      </c>
      <c r="BR14" s="51">
        <f t="shared" si="0"/>
        <v>9768841.524213057</v>
      </c>
      <c r="BS14" s="51">
        <f t="shared" si="0"/>
        <v>15871245.471249091</v>
      </c>
    </row>
    <row r="15" spans="1:71" x14ac:dyDescent="0.25">
      <c r="A15" s="19" t="s">
        <v>614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N15" s="20"/>
      <c r="BO15" s="20"/>
      <c r="BP15" s="20"/>
      <c r="BQ15" s="20"/>
      <c r="BR15" s="20"/>
      <c r="BS15" s="20"/>
    </row>
    <row r="16" spans="1:71" x14ac:dyDescent="0.25">
      <c r="A16" s="8" t="s">
        <v>528</v>
      </c>
      <c r="B16" s="10" t="s">
        <v>83</v>
      </c>
      <c r="D16" s="58">
        <f>Monthly!D87</f>
        <v>0</v>
      </c>
      <c r="E16" s="58">
        <f>Monthly!E87</f>
        <v>43038.927340000002</v>
      </c>
      <c r="F16" s="58">
        <f>Monthly!F87</f>
        <v>44105.046779999597</v>
      </c>
      <c r="G16" s="58">
        <f>Monthly!G87</f>
        <v>46977.849715272801</v>
      </c>
      <c r="H16" s="58">
        <f>Monthly!H87</f>
        <v>50082.307877476793</v>
      </c>
      <c r="I16" s="58">
        <f>Monthly!I87</f>
        <v>52345.991649371761</v>
      </c>
      <c r="J16" s="58">
        <f>Monthly!J87</f>
        <v>58718.632734184052</v>
      </c>
      <c r="K16" s="58">
        <f>Monthly!K87</f>
        <v>58955.161252832928</v>
      </c>
      <c r="L16" s="58">
        <f>Monthly!L87</f>
        <v>63419.436975570585</v>
      </c>
      <c r="M16" s="58">
        <f>Monthly!M87</f>
        <v>75144.474304449686</v>
      </c>
      <c r="N16" s="58">
        <f>Monthly!N87</f>
        <v>79034.967118243541</v>
      </c>
      <c r="O16" s="58">
        <f>Monthly!O87</f>
        <v>83934.737213368702</v>
      </c>
      <c r="P16" s="58">
        <f>Monthly!P87</f>
        <v>88043.289043791388</v>
      </c>
      <c r="Q16" s="58">
        <f>Monthly!Q87</f>
        <v>94367.72955866679</v>
      </c>
      <c r="R16" s="58">
        <f>Monthly!R87</f>
        <v>100526.70666879325</v>
      </c>
      <c r="S16" s="58">
        <f>Monthly!S87</f>
        <v>109087.85038828774</v>
      </c>
      <c r="T16" s="58">
        <f>Monthly!T87</f>
        <v>117907.61340623439</v>
      </c>
      <c r="U16" s="58">
        <f>Monthly!U87</f>
        <v>124734.82176049944</v>
      </c>
      <c r="V16" s="58">
        <f>Monthly!V87</f>
        <v>166711.16578941324</v>
      </c>
      <c r="W16" s="58">
        <f>Monthly!W87</f>
        <v>131185.97196131351</v>
      </c>
      <c r="X16" s="58">
        <f>Monthly!X87</f>
        <v>134987.14504298486</v>
      </c>
      <c r="Y16" s="58">
        <f>Monthly!Y87</f>
        <v>144679.76708896275</v>
      </c>
      <c r="Z16" s="58">
        <f>Monthly!Z87</f>
        <v>153620.79735820944</v>
      </c>
      <c r="AA16" s="58">
        <f>Monthly!AA87</f>
        <v>160009.56583123322</v>
      </c>
      <c r="AB16" s="58">
        <f>Monthly!AB87</f>
        <v>166545.40588364255</v>
      </c>
      <c r="AC16" s="58">
        <f>Monthly!AC87</f>
        <v>174131.39776776868</v>
      </c>
      <c r="AD16" s="58">
        <f>Monthly!AD87</f>
        <v>185073.26421370375</v>
      </c>
      <c r="AE16" s="58">
        <f>Monthly!AE87</f>
        <v>195372.02758183266</v>
      </c>
      <c r="AF16" s="58">
        <f>Monthly!AF87</f>
        <v>209976.52723584071</v>
      </c>
      <c r="AG16" s="58">
        <f>Monthly!AG87</f>
        <v>219994.71919550461</v>
      </c>
      <c r="AH16" s="58">
        <f>Monthly!AH87</f>
        <v>288865.84734862554</v>
      </c>
      <c r="AI16" s="58">
        <f>Monthly!AI87</f>
        <v>245288.77116791901</v>
      </c>
      <c r="AJ16" s="58">
        <f>Monthly!AJ87</f>
        <v>257862.35589270451</v>
      </c>
      <c r="AK16" s="58">
        <f>Monthly!AK87</f>
        <v>270685.47249413276</v>
      </c>
      <c r="AL16" s="58">
        <f>Monthly!AL87</f>
        <v>282856.99764066743</v>
      </c>
      <c r="AM16" s="58">
        <f>Monthly!AM87</f>
        <v>295275.81366381916</v>
      </c>
      <c r="AN16" s="58">
        <f>Monthly!AN87</f>
        <v>309290.80852413084</v>
      </c>
      <c r="AO16" s="58">
        <f>Monthly!AO87</f>
        <v>320956.71924163844</v>
      </c>
      <c r="AP16" s="58">
        <f>Monthly!AP87</f>
        <v>333561.10124485276</v>
      </c>
      <c r="AQ16" s="58">
        <f>Monthly!AQ87</f>
        <v>348552.75131228473</v>
      </c>
      <c r="AR16" s="58">
        <f>Monthly!AR87</f>
        <v>361992.16597354173</v>
      </c>
      <c r="AS16" s="58">
        <f>Monthly!AS87</f>
        <v>378828.23497302097</v>
      </c>
      <c r="AT16" s="58">
        <f>Monthly!AT87</f>
        <v>398720.9588292226</v>
      </c>
      <c r="AU16" s="58">
        <f>Monthly!AU87</f>
        <v>412218.73380827031</v>
      </c>
      <c r="AV16" s="58">
        <f>Monthly!AV87</f>
        <v>430908.85902144626</v>
      </c>
      <c r="AW16" s="58">
        <f>Monthly!AW87</f>
        <v>449951.35659352539</v>
      </c>
      <c r="AX16" s="58">
        <f>Monthly!AX87</f>
        <v>465294.64426786848</v>
      </c>
      <c r="AY16" s="58">
        <f>Monthly!AY87</f>
        <v>481776.0425048942</v>
      </c>
      <c r="AZ16" s="58">
        <f>Monthly!AZ87</f>
        <v>498944.4894281904</v>
      </c>
      <c r="BA16" s="58">
        <f>Monthly!BA87</f>
        <v>513286.56769315025</v>
      </c>
      <c r="BB16" s="58">
        <f>Monthly!BB87</f>
        <v>528966.26095247455</v>
      </c>
      <c r="BC16" s="58">
        <f>Monthly!BC87</f>
        <v>542972.58298269217</v>
      </c>
      <c r="BD16" s="58">
        <f>Monthly!BD87</f>
        <v>561154.98013420333</v>
      </c>
      <c r="BE16" s="58">
        <f>Monthly!BE87</f>
        <v>576876.02749832044</v>
      </c>
      <c r="BF16" s="58">
        <f>Monthly!BF87</f>
        <v>597334.66394517315</v>
      </c>
      <c r="BG16" s="58">
        <f>Monthly!BG87</f>
        <v>615329.83357517817</v>
      </c>
      <c r="BH16" s="58">
        <f>Monthly!BH87</f>
        <v>632660.48568858393</v>
      </c>
      <c r="BI16" s="58">
        <f>Monthly!BI87</f>
        <v>652025.57475522987</v>
      </c>
      <c r="BJ16" s="58">
        <f>Monthly!BJ87</f>
        <v>669824.06038452091</v>
      </c>
      <c r="BK16" s="58">
        <f>Monthly!BK87</f>
        <v>688754.9072956132</v>
      </c>
      <c r="BL16" s="58">
        <f>Monthly!BL87</f>
        <v>708367.08528781135</v>
      </c>
      <c r="BN16" s="50">
        <f t="shared" ref="BN16:BS17" si="5">INDEX($D16:$BL16,(BN$4-start_year+1)*12+1)</f>
        <v>0</v>
      </c>
      <c r="BO16" s="50">
        <f t="shared" si="5"/>
        <v>88043.289043791388</v>
      </c>
      <c r="BP16" s="50">
        <f t="shared" si="5"/>
        <v>166545.40588364255</v>
      </c>
      <c r="BQ16" s="50">
        <f t="shared" si="5"/>
        <v>309290.80852413084</v>
      </c>
      <c r="BR16" s="50">
        <f t="shared" si="5"/>
        <v>498944.4894281904</v>
      </c>
      <c r="BS16" s="50">
        <f t="shared" si="5"/>
        <v>708367.08528781135</v>
      </c>
    </row>
    <row r="17" spans="1:71" x14ac:dyDescent="0.25">
      <c r="A17" s="44" t="s">
        <v>615</v>
      </c>
      <c r="B17" s="10" t="s">
        <v>83</v>
      </c>
      <c r="C17" s="39" t="s">
        <v>616</v>
      </c>
      <c r="D17" s="52">
        <f t="shared" ref="D17:AI17" si="6">D16</f>
        <v>0</v>
      </c>
      <c r="E17" s="51">
        <f t="shared" si="6"/>
        <v>43038.927340000002</v>
      </c>
      <c r="F17" s="51">
        <f t="shared" si="6"/>
        <v>44105.046779999597</v>
      </c>
      <c r="G17" s="51">
        <f t="shared" si="6"/>
        <v>46977.849715272801</v>
      </c>
      <c r="H17" s="51">
        <f t="shared" si="6"/>
        <v>50082.307877476793</v>
      </c>
      <c r="I17" s="51">
        <f t="shared" si="6"/>
        <v>52345.991649371761</v>
      </c>
      <c r="J17" s="51">
        <f t="shared" si="6"/>
        <v>58718.632734184052</v>
      </c>
      <c r="K17" s="51">
        <f t="shared" si="6"/>
        <v>58955.161252832928</v>
      </c>
      <c r="L17" s="51">
        <f t="shared" si="6"/>
        <v>63419.436975570585</v>
      </c>
      <c r="M17" s="51">
        <f t="shared" si="6"/>
        <v>75144.474304449686</v>
      </c>
      <c r="N17" s="51">
        <f t="shared" si="6"/>
        <v>79034.967118243541</v>
      </c>
      <c r="O17" s="51">
        <f t="shared" si="6"/>
        <v>83934.737213368702</v>
      </c>
      <c r="P17" s="51">
        <f t="shared" si="6"/>
        <v>88043.289043791388</v>
      </c>
      <c r="Q17" s="51">
        <f t="shared" si="6"/>
        <v>94367.72955866679</v>
      </c>
      <c r="R17" s="51">
        <f t="shared" si="6"/>
        <v>100526.70666879325</v>
      </c>
      <c r="S17" s="51">
        <f t="shared" si="6"/>
        <v>109087.85038828774</v>
      </c>
      <c r="T17" s="51">
        <f t="shared" si="6"/>
        <v>117907.61340623439</v>
      </c>
      <c r="U17" s="51">
        <f t="shared" si="6"/>
        <v>124734.82176049944</v>
      </c>
      <c r="V17" s="51">
        <f t="shared" si="6"/>
        <v>166711.16578941324</v>
      </c>
      <c r="W17" s="51">
        <f t="shared" si="6"/>
        <v>131185.97196131351</v>
      </c>
      <c r="X17" s="51">
        <f t="shared" si="6"/>
        <v>134987.14504298486</v>
      </c>
      <c r="Y17" s="51">
        <f t="shared" si="6"/>
        <v>144679.76708896275</v>
      </c>
      <c r="Z17" s="51">
        <f t="shared" si="6"/>
        <v>153620.79735820944</v>
      </c>
      <c r="AA17" s="51">
        <f t="shared" si="6"/>
        <v>160009.56583123322</v>
      </c>
      <c r="AB17" s="51">
        <f t="shared" si="6"/>
        <v>166545.40588364255</v>
      </c>
      <c r="AC17" s="51">
        <f t="shared" si="6"/>
        <v>174131.39776776868</v>
      </c>
      <c r="AD17" s="51">
        <f t="shared" si="6"/>
        <v>185073.26421370375</v>
      </c>
      <c r="AE17" s="51">
        <f t="shared" si="6"/>
        <v>195372.02758183266</v>
      </c>
      <c r="AF17" s="51">
        <f t="shared" si="6"/>
        <v>209976.52723584071</v>
      </c>
      <c r="AG17" s="51">
        <f t="shared" si="6"/>
        <v>219994.71919550461</v>
      </c>
      <c r="AH17" s="51">
        <f t="shared" si="6"/>
        <v>288865.84734862554</v>
      </c>
      <c r="AI17" s="51">
        <f t="shared" si="6"/>
        <v>245288.77116791901</v>
      </c>
      <c r="AJ17" s="51">
        <f t="shared" ref="AJ17:BO17" si="7">AJ16</f>
        <v>257862.35589270451</v>
      </c>
      <c r="AK17" s="51">
        <f t="shared" si="7"/>
        <v>270685.47249413276</v>
      </c>
      <c r="AL17" s="51">
        <f t="shared" si="7"/>
        <v>282856.99764066743</v>
      </c>
      <c r="AM17" s="51">
        <f t="shared" si="7"/>
        <v>295275.81366381916</v>
      </c>
      <c r="AN17" s="51">
        <f t="shared" si="7"/>
        <v>309290.80852413084</v>
      </c>
      <c r="AO17" s="51">
        <f t="shared" si="7"/>
        <v>320956.71924163844</v>
      </c>
      <c r="AP17" s="51">
        <f t="shared" si="7"/>
        <v>333561.10124485276</v>
      </c>
      <c r="AQ17" s="51">
        <f t="shared" si="7"/>
        <v>348552.75131228473</v>
      </c>
      <c r="AR17" s="51">
        <f t="shared" si="7"/>
        <v>361992.16597354173</v>
      </c>
      <c r="AS17" s="51">
        <f t="shared" si="7"/>
        <v>378828.23497302097</v>
      </c>
      <c r="AT17" s="51">
        <f t="shared" si="7"/>
        <v>398720.9588292226</v>
      </c>
      <c r="AU17" s="51">
        <f t="shared" si="7"/>
        <v>412218.73380827031</v>
      </c>
      <c r="AV17" s="51">
        <f t="shared" si="7"/>
        <v>430908.85902144626</v>
      </c>
      <c r="AW17" s="51">
        <f t="shared" si="7"/>
        <v>449951.35659352539</v>
      </c>
      <c r="AX17" s="51">
        <f t="shared" si="7"/>
        <v>465294.64426786848</v>
      </c>
      <c r="AY17" s="51">
        <f t="shared" si="7"/>
        <v>481776.0425048942</v>
      </c>
      <c r="AZ17" s="51">
        <f t="shared" si="7"/>
        <v>498944.4894281904</v>
      </c>
      <c r="BA17" s="51">
        <f t="shared" si="7"/>
        <v>513286.56769315025</v>
      </c>
      <c r="BB17" s="51">
        <f t="shared" si="7"/>
        <v>528966.26095247455</v>
      </c>
      <c r="BC17" s="51">
        <f t="shared" si="7"/>
        <v>542972.58298269217</v>
      </c>
      <c r="BD17" s="51">
        <f t="shared" si="7"/>
        <v>561154.98013420333</v>
      </c>
      <c r="BE17" s="51">
        <f t="shared" si="7"/>
        <v>576876.02749832044</v>
      </c>
      <c r="BF17" s="51">
        <f t="shared" si="7"/>
        <v>597334.66394517315</v>
      </c>
      <c r="BG17" s="51">
        <f t="shared" si="7"/>
        <v>615329.83357517817</v>
      </c>
      <c r="BH17" s="51">
        <f t="shared" si="7"/>
        <v>632660.48568858393</v>
      </c>
      <c r="BI17" s="51">
        <f t="shared" si="7"/>
        <v>652025.57475522987</v>
      </c>
      <c r="BJ17" s="51">
        <f t="shared" si="7"/>
        <v>669824.06038452091</v>
      </c>
      <c r="BK17" s="51">
        <f t="shared" si="7"/>
        <v>688754.9072956132</v>
      </c>
      <c r="BL17" s="51">
        <f t="shared" si="7"/>
        <v>708367.08528781135</v>
      </c>
      <c r="BN17" s="51">
        <f t="shared" si="5"/>
        <v>0</v>
      </c>
      <c r="BO17" s="51">
        <f t="shared" si="5"/>
        <v>88043.289043791388</v>
      </c>
      <c r="BP17" s="51">
        <f t="shared" si="5"/>
        <v>166545.40588364255</v>
      </c>
      <c r="BQ17" s="51">
        <f t="shared" si="5"/>
        <v>309290.80852413084</v>
      </c>
      <c r="BR17" s="51">
        <f t="shared" si="5"/>
        <v>498944.4894281904</v>
      </c>
      <c r="BS17" s="51">
        <f t="shared" si="5"/>
        <v>708367.08528781135</v>
      </c>
    </row>
    <row r="18" spans="1:71" x14ac:dyDescent="0.25">
      <c r="A18" s="19" t="s">
        <v>617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N18" s="20"/>
      <c r="BO18" s="20"/>
      <c r="BP18" s="20"/>
      <c r="BQ18" s="20"/>
      <c r="BR18" s="20"/>
      <c r="BS18" s="20"/>
    </row>
    <row r="19" spans="1:71" x14ac:dyDescent="0.25">
      <c r="A19" s="8" t="s">
        <v>618</v>
      </c>
      <c r="B19" s="10" t="s">
        <v>83</v>
      </c>
      <c r="D19" s="50">
        <f>paidin_open</f>
        <v>1000000</v>
      </c>
      <c r="E19" s="50">
        <f>D19+Monthly!E88</f>
        <v>4500000</v>
      </c>
      <c r="F19" s="50">
        <f>E19+Monthly!F88</f>
        <v>4500000</v>
      </c>
      <c r="G19" s="50">
        <f>F19+Monthly!G88</f>
        <v>4500000</v>
      </c>
      <c r="H19" s="50">
        <f>G19+Monthly!H88</f>
        <v>4500000</v>
      </c>
      <c r="I19" s="50">
        <f>H19+Monthly!I88</f>
        <v>4500000</v>
      </c>
      <c r="J19" s="50">
        <f>I19+Monthly!J88</f>
        <v>4500000</v>
      </c>
      <c r="K19" s="50">
        <f>J19+Monthly!K88</f>
        <v>4500000</v>
      </c>
      <c r="L19" s="50">
        <f>K19+Monthly!L88</f>
        <v>4500000</v>
      </c>
      <c r="M19" s="50">
        <f>L19+Monthly!M88</f>
        <v>4500000</v>
      </c>
      <c r="N19" s="50">
        <f>M19+Monthly!N88</f>
        <v>4500000</v>
      </c>
      <c r="O19" s="50">
        <f>N19+Monthly!O88</f>
        <v>4500000</v>
      </c>
      <c r="P19" s="50">
        <f>O19+Monthly!P88</f>
        <v>4500000</v>
      </c>
      <c r="Q19" s="50">
        <f>P19+Monthly!Q88</f>
        <v>4500000</v>
      </c>
      <c r="R19" s="50">
        <f>Q19+Monthly!R88</f>
        <v>4500000</v>
      </c>
      <c r="S19" s="50">
        <f>R19+Monthly!S88</f>
        <v>4500000</v>
      </c>
      <c r="T19" s="50">
        <f>S19+Monthly!T88</f>
        <v>4500000</v>
      </c>
      <c r="U19" s="50">
        <f>T19+Monthly!U88</f>
        <v>4500000</v>
      </c>
      <c r="V19" s="50">
        <f>U19+Monthly!V88</f>
        <v>4500000</v>
      </c>
      <c r="W19" s="50">
        <f>V19+Monthly!W88</f>
        <v>4500000</v>
      </c>
      <c r="X19" s="50">
        <f>W19+Monthly!X88</f>
        <v>4500000</v>
      </c>
      <c r="Y19" s="50">
        <f>X19+Monthly!Y88</f>
        <v>14500000</v>
      </c>
      <c r="Z19" s="50">
        <f>Y19+Monthly!Z88</f>
        <v>14500000</v>
      </c>
      <c r="AA19" s="50">
        <f>Z19+Monthly!AA88</f>
        <v>14500000</v>
      </c>
      <c r="AB19" s="50">
        <f>AA19+Monthly!AB88</f>
        <v>14500000</v>
      </c>
      <c r="AC19" s="50">
        <f>AB19+Monthly!AC88</f>
        <v>14500000</v>
      </c>
      <c r="AD19" s="50">
        <f>AC19+Monthly!AD88</f>
        <v>14500000</v>
      </c>
      <c r="AE19" s="50">
        <f>AD19+Monthly!AE88</f>
        <v>14500000</v>
      </c>
      <c r="AF19" s="50">
        <f>AE19+Monthly!AF88</f>
        <v>14500000</v>
      </c>
      <c r="AG19" s="50">
        <f>AF19+Monthly!AG88</f>
        <v>14500000</v>
      </c>
      <c r="AH19" s="50">
        <f>AG19+Monthly!AH88</f>
        <v>14500000</v>
      </c>
      <c r="AI19" s="50">
        <f>AH19+Monthly!AI88</f>
        <v>14500000</v>
      </c>
      <c r="AJ19" s="50">
        <f>AI19+Monthly!AJ88</f>
        <v>14500000</v>
      </c>
      <c r="AK19" s="50">
        <f>AJ19+Monthly!AK88</f>
        <v>14500000</v>
      </c>
      <c r="AL19" s="50">
        <f>AK19+Monthly!AL88</f>
        <v>14500000</v>
      </c>
      <c r="AM19" s="50">
        <f>AL19+Monthly!AM88</f>
        <v>14500000</v>
      </c>
      <c r="AN19" s="50">
        <f>AM19+Monthly!AN88</f>
        <v>14500000</v>
      </c>
      <c r="AO19" s="50">
        <f>AN19+Monthly!AO88</f>
        <v>14500000</v>
      </c>
      <c r="AP19" s="50">
        <f>AO19+Monthly!AP88</f>
        <v>14500000</v>
      </c>
      <c r="AQ19" s="50">
        <f>AP19+Monthly!AQ88</f>
        <v>14500000</v>
      </c>
      <c r="AR19" s="50">
        <f>AQ19+Monthly!AR88</f>
        <v>14500000</v>
      </c>
      <c r="AS19" s="50">
        <f>AR19+Monthly!AS88</f>
        <v>14500000</v>
      </c>
      <c r="AT19" s="50">
        <f>AS19+Monthly!AT88</f>
        <v>14500000</v>
      </c>
      <c r="AU19" s="50">
        <f>AT19+Monthly!AU88</f>
        <v>14500000</v>
      </c>
      <c r="AV19" s="50">
        <f>AU19+Monthly!AV88</f>
        <v>14500000</v>
      </c>
      <c r="AW19" s="50">
        <f>AV19+Monthly!AW88</f>
        <v>14500000</v>
      </c>
      <c r="AX19" s="50">
        <f>AW19+Monthly!AX88</f>
        <v>14500000</v>
      </c>
      <c r="AY19" s="50">
        <f>AX19+Monthly!AY88</f>
        <v>14500000</v>
      </c>
      <c r="AZ19" s="50">
        <f>AY19+Monthly!AZ88</f>
        <v>14500000</v>
      </c>
      <c r="BA19" s="50">
        <f>AZ19+Monthly!BA88</f>
        <v>14500000</v>
      </c>
      <c r="BB19" s="50">
        <f>BA19+Monthly!BB88</f>
        <v>14500000</v>
      </c>
      <c r="BC19" s="50">
        <f>BB19+Monthly!BC88</f>
        <v>14500000</v>
      </c>
      <c r="BD19" s="50">
        <f>BC19+Monthly!BD88</f>
        <v>14500000</v>
      </c>
      <c r="BE19" s="50">
        <f>BD19+Monthly!BE88</f>
        <v>14500000</v>
      </c>
      <c r="BF19" s="50">
        <f>BE19+Monthly!BF88</f>
        <v>14500000</v>
      </c>
      <c r="BG19" s="50">
        <f>BF19+Monthly!BG88</f>
        <v>14500000</v>
      </c>
      <c r="BH19" s="50">
        <f>BG19+Monthly!BH88</f>
        <v>14500000</v>
      </c>
      <c r="BI19" s="50">
        <f>BH19+Monthly!BI88</f>
        <v>14500000</v>
      </c>
      <c r="BJ19" s="50">
        <f>BI19+Monthly!BJ88</f>
        <v>14500000</v>
      </c>
      <c r="BK19" s="50">
        <f>BJ19+Monthly!BK88</f>
        <v>14500000</v>
      </c>
      <c r="BL19" s="50">
        <f>BK19+Monthly!BL88</f>
        <v>14500000</v>
      </c>
      <c r="BN19" s="50">
        <f t="shared" ref="BN19:BS22" si="8">INDEX($D19:$BL19,(BN$4-start_year+1)*12+1)</f>
        <v>1000000</v>
      </c>
      <c r="BO19" s="50">
        <f t="shared" si="8"/>
        <v>4500000</v>
      </c>
      <c r="BP19" s="50">
        <f t="shared" si="8"/>
        <v>14500000</v>
      </c>
      <c r="BQ19" s="50">
        <f t="shared" si="8"/>
        <v>14500000</v>
      </c>
      <c r="BR19" s="50">
        <f t="shared" si="8"/>
        <v>14500000</v>
      </c>
      <c r="BS19" s="50">
        <f t="shared" si="8"/>
        <v>14500000</v>
      </c>
    </row>
    <row r="20" spans="1:71" x14ac:dyDescent="0.25">
      <c r="A20" s="8" t="s">
        <v>619</v>
      </c>
      <c r="B20" s="10" t="s">
        <v>83</v>
      </c>
      <c r="D20" s="50">
        <f>deficit_open</f>
        <v>-731082</v>
      </c>
      <c r="E20" s="50">
        <f>D20+Monthly!E83</f>
        <v>-831202.73133999994</v>
      </c>
      <c r="F20" s="50">
        <f>E20+Monthly!F83</f>
        <v>-925814.10299575957</v>
      </c>
      <c r="G20" s="50">
        <f>F20+Monthly!G83</f>
        <v>-1044806.2567966856</v>
      </c>
      <c r="H20" s="50">
        <f>G20+Monthly!H83</f>
        <v>-1171286.1980185614</v>
      </c>
      <c r="I20" s="50">
        <f>H20+Monthly!I83</f>
        <v>-1292878.0914542871</v>
      </c>
      <c r="J20" s="50">
        <f>I20+Monthly!J83</f>
        <v>-1432366.0573357947</v>
      </c>
      <c r="K20" s="50">
        <f>J20+Monthly!K83</f>
        <v>-1563191.9809655952</v>
      </c>
      <c r="L20" s="50">
        <f>K20+Monthly!L83</f>
        <v>-1704017.6901895497</v>
      </c>
      <c r="M20" s="50">
        <f>L20+Monthly!M83</f>
        <v>-1870304.6418326104</v>
      </c>
      <c r="N20" s="50">
        <f>M20+Monthly!N83</f>
        <v>-2029392.9103870257</v>
      </c>
      <c r="O20" s="50">
        <f>N20+Monthly!O83</f>
        <v>-2189502.8426327351</v>
      </c>
      <c r="P20" s="50">
        <f>O20+Monthly!P83</f>
        <v>-2340918.8859170363</v>
      </c>
      <c r="Q20" s="50">
        <f>P20+Monthly!Q83</f>
        <v>-2510816.1941971006</v>
      </c>
      <c r="R20" s="50">
        <f>Q20+Monthly!R83</f>
        <v>-2683161.9018210154</v>
      </c>
      <c r="S20" s="50">
        <f>R20+Monthly!S83</f>
        <v>-2859135.9515383248</v>
      </c>
      <c r="T20" s="50">
        <f>S20+Monthly!T83</f>
        <v>-3036923.9873165274</v>
      </c>
      <c r="U20" s="50">
        <f>T20+Monthly!U83</f>
        <v>-3209378.8954408313</v>
      </c>
      <c r="V20" s="50">
        <f>U20+Monthly!V83</f>
        <v>-3416629.3483445235</v>
      </c>
      <c r="W20" s="50">
        <f>V20+Monthly!W83</f>
        <v>-3565488.7743655429</v>
      </c>
      <c r="X20" s="50">
        <f>W20+Monthly!X83</f>
        <v>-3696659.9462458622</v>
      </c>
      <c r="Y20" s="50">
        <f>X20+Monthly!Y83</f>
        <v>-3865411.4809520887</v>
      </c>
      <c r="Z20" s="50">
        <f>Y20+Monthly!Z83</f>
        <v>-4054277.4016632582</v>
      </c>
      <c r="AA20" s="50">
        <f>Z20+Monthly!AA83</f>
        <v>-4225317.0241088606</v>
      </c>
      <c r="AB20" s="50">
        <f>AA20+Monthly!AB83</f>
        <v>-4377492.1624892401</v>
      </c>
      <c r="AC20" s="50">
        <f>AB20+Monthly!AC83</f>
        <v>-4504623.0499130422</v>
      </c>
      <c r="AD20" s="50">
        <f>AC20+Monthly!AD83</f>
        <v>-4640430.7573386868</v>
      </c>
      <c r="AE20" s="50">
        <f>AD20+Monthly!AE83</f>
        <v>-4764055.417311375</v>
      </c>
      <c r="AF20" s="50">
        <f>AE20+Monthly!AF83</f>
        <v>-4908604.3098742533</v>
      </c>
      <c r="AG20" s="50">
        <f>AF20+Monthly!AG83</f>
        <v>-5027042.8043512572</v>
      </c>
      <c r="AH20" s="50">
        <f>AG20+Monthly!AH83</f>
        <v>-5223098.4355292059</v>
      </c>
      <c r="AI20" s="50">
        <f>AH20+Monthly!AI83</f>
        <v>-5350213.3426400116</v>
      </c>
      <c r="AJ20" s="50">
        <f>AI20+Monthly!AJ83</f>
        <v>-5472089.8296844745</v>
      </c>
      <c r="AK20" s="50">
        <f>AJ20+Monthly!AK83</f>
        <v>-5585859.0147495791</v>
      </c>
      <c r="AL20" s="50">
        <f>AK20+Monthly!AL83</f>
        <v>-5677080.8016523132</v>
      </c>
      <c r="AM20" s="50">
        <f>AL20+Monthly!AM83</f>
        <v>-5747144.3405763721</v>
      </c>
      <c r="AN20" s="50">
        <f>AM20+Monthly!AN83</f>
        <v>-5840448.8332569869</v>
      </c>
      <c r="AO20" s="50">
        <f>AN20+Monthly!AO83</f>
        <v>-5874508.4586983118</v>
      </c>
      <c r="AP20" s="50">
        <f>AO20+Monthly!AP83</f>
        <v>-5902413.1426161658</v>
      </c>
      <c r="AQ20" s="50">
        <f>AP20+Monthly!AQ83</f>
        <v>-5929611.2621209491</v>
      </c>
      <c r="AR20" s="50">
        <f>AQ20+Monthly!AR83</f>
        <v>-5920696.3499818174</v>
      </c>
      <c r="AS20" s="50">
        <f>AR20+Monthly!AS83</f>
        <v>-5895693.1126054414</v>
      </c>
      <c r="AT20" s="50">
        <f>AS20+Monthly!AT83</f>
        <v>-5888593.9162774179</v>
      </c>
      <c r="AU20" s="50">
        <f>AT20+Monthly!AU83</f>
        <v>-5828606.7103479523</v>
      </c>
      <c r="AV20" s="50">
        <f>AU20+Monthly!AV83</f>
        <v>-5755068.3807000583</v>
      </c>
      <c r="AW20" s="50">
        <f>AV20+Monthly!AW83</f>
        <v>-5669657.2114356458</v>
      </c>
      <c r="AX20" s="50">
        <f>AW20+Monthly!AX83</f>
        <v>-5534021.4385847896</v>
      </c>
      <c r="AY20" s="50">
        <f>AX20+Monthly!AY83</f>
        <v>-5365853.6405406957</v>
      </c>
      <c r="AZ20" s="50">
        <f>AY20+Monthly!AZ83</f>
        <v>-5230102.9652151288</v>
      </c>
      <c r="BA20" s="50">
        <f>AZ20+Monthly!BA83</f>
        <v>-4952541.1664147917</v>
      </c>
      <c r="BB20" s="50">
        <f>BA20+Monthly!BB83</f>
        <v>-4644920.981541181</v>
      </c>
      <c r="BC20" s="50">
        <f>BB20+Monthly!BC83</f>
        <v>-4280677.9118550401</v>
      </c>
      <c r="BD20" s="50">
        <f>BC20+Monthly!BD83</f>
        <v>-3886650.5859729527</v>
      </c>
      <c r="BE20" s="50">
        <f>BD20+Monthly!BE83</f>
        <v>-3420950.9512616945</v>
      </c>
      <c r="BF20" s="50">
        <f>BE20+Monthly!BF83</f>
        <v>-2949624.1645135838</v>
      </c>
      <c r="BG20" s="50">
        <f>BF20+Monthly!BG83</f>
        <v>-2429740.8192906077</v>
      </c>
      <c r="BH20" s="50">
        <f>BG20+Monthly!BH83</f>
        <v>-1846134.968119286</v>
      </c>
      <c r="BI20" s="50">
        <f>BH20+Monthly!BI83</f>
        <v>-1224545.8017292593</v>
      </c>
      <c r="BJ20" s="50">
        <f>BI20+Monthly!BJ83</f>
        <v>-535415.80446747539</v>
      </c>
      <c r="BK20" s="50">
        <f>BJ20+Monthly!BK83</f>
        <v>209490.79169126751</v>
      </c>
      <c r="BL20" s="50">
        <f>BK20+Monthly!BL83</f>
        <v>662878.38596128009</v>
      </c>
      <c r="BN20" s="50">
        <f t="shared" si="8"/>
        <v>-731082</v>
      </c>
      <c r="BO20" s="50">
        <f t="shared" si="8"/>
        <v>-2340918.8859170363</v>
      </c>
      <c r="BP20" s="50">
        <f t="shared" si="8"/>
        <v>-4377492.1624892401</v>
      </c>
      <c r="BQ20" s="50">
        <f t="shared" si="8"/>
        <v>-5840448.8332569869</v>
      </c>
      <c r="BR20" s="50">
        <f t="shared" si="8"/>
        <v>-5230102.9652151288</v>
      </c>
      <c r="BS20" s="50">
        <f t="shared" si="8"/>
        <v>662878.38596128009</v>
      </c>
    </row>
    <row r="21" spans="1:71" x14ac:dyDescent="0.25">
      <c r="A21" s="44" t="s">
        <v>620</v>
      </c>
      <c r="B21" s="10" t="s">
        <v>83</v>
      </c>
      <c r="D21" s="52">
        <f t="shared" ref="D21:AI21" si="9">D19+D20</f>
        <v>268918</v>
      </c>
      <c r="E21" s="51">
        <f t="shared" si="9"/>
        <v>3668797.2686600001</v>
      </c>
      <c r="F21" s="51">
        <f t="shared" si="9"/>
        <v>3574185.8970042402</v>
      </c>
      <c r="G21" s="51">
        <f t="shared" si="9"/>
        <v>3455193.7432033145</v>
      </c>
      <c r="H21" s="51">
        <f t="shared" si="9"/>
        <v>3328713.8019814389</v>
      </c>
      <c r="I21" s="51">
        <f t="shared" si="9"/>
        <v>3207121.9085457129</v>
      </c>
      <c r="J21" s="51">
        <f t="shared" si="9"/>
        <v>3067633.9426642051</v>
      </c>
      <c r="K21" s="51">
        <f t="shared" si="9"/>
        <v>2936808.0190344048</v>
      </c>
      <c r="L21" s="51">
        <f t="shared" si="9"/>
        <v>2795982.3098104503</v>
      </c>
      <c r="M21" s="51">
        <f t="shared" si="9"/>
        <v>2629695.3581673894</v>
      </c>
      <c r="N21" s="51">
        <f t="shared" si="9"/>
        <v>2470607.0896129743</v>
      </c>
      <c r="O21" s="51">
        <f t="shared" si="9"/>
        <v>2310497.1573672649</v>
      </c>
      <c r="P21" s="51">
        <f t="shared" si="9"/>
        <v>2159081.1140829637</v>
      </c>
      <c r="Q21" s="51">
        <f t="shared" si="9"/>
        <v>1989183.8058028994</v>
      </c>
      <c r="R21" s="51">
        <f t="shared" si="9"/>
        <v>1816838.0981789846</v>
      </c>
      <c r="S21" s="51">
        <f t="shared" si="9"/>
        <v>1640864.0484616752</v>
      </c>
      <c r="T21" s="51">
        <f t="shared" si="9"/>
        <v>1463076.0126834726</v>
      </c>
      <c r="U21" s="51">
        <f t="shared" si="9"/>
        <v>1290621.1045591687</v>
      </c>
      <c r="V21" s="51">
        <f t="shared" si="9"/>
        <v>1083370.6516554765</v>
      </c>
      <c r="W21" s="51">
        <f t="shared" si="9"/>
        <v>934511.22563445708</v>
      </c>
      <c r="X21" s="51">
        <f t="shared" si="9"/>
        <v>803340.05375413783</v>
      </c>
      <c r="Y21" s="51">
        <f t="shared" si="9"/>
        <v>10634588.519047912</v>
      </c>
      <c r="Z21" s="51">
        <f t="shared" si="9"/>
        <v>10445722.598336741</v>
      </c>
      <c r="AA21" s="51">
        <f t="shared" si="9"/>
        <v>10274682.975891139</v>
      </c>
      <c r="AB21" s="51">
        <f t="shared" si="9"/>
        <v>10122507.837510761</v>
      </c>
      <c r="AC21" s="51">
        <f t="shared" si="9"/>
        <v>9995376.9500869587</v>
      </c>
      <c r="AD21" s="51">
        <f t="shared" si="9"/>
        <v>9859569.2426613122</v>
      </c>
      <c r="AE21" s="51">
        <f t="shared" si="9"/>
        <v>9735944.5826886259</v>
      </c>
      <c r="AF21" s="51">
        <f t="shared" si="9"/>
        <v>9591395.6901257467</v>
      </c>
      <c r="AG21" s="51">
        <f t="shared" si="9"/>
        <v>9472957.1956487428</v>
      </c>
      <c r="AH21" s="51">
        <f t="shared" si="9"/>
        <v>9276901.5644707941</v>
      </c>
      <c r="AI21" s="51">
        <f t="shared" si="9"/>
        <v>9149786.6573599875</v>
      </c>
      <c r="AJ21" s="51">
        <f t="shared" ref="AJ21:BO21" si="10">AJ19+AJ20</f>
        <v>9027910.1703155264</v>
      </c>
      <c r="AK21" s="51">
        <f t="shared" si="10"/>
        <v>8914140.9852504209</v>
      </c>
      <c r="AL21" s="51">
        <f t="shared" si="10"/>
        <v>8822919.1983476877</v>
      </c>
      <c r="AM21" s="51">
        <f t="shared" si="10"/>
        <v>8752855.659423627</v>
      </c>
      <c r="AN21" s="51">
        <f t="shared" si="10"/>
        <v>8659551.166743014</v>
      </c>
      <c r="AO21" s="51">
        <f t="shared" si="10"/>
        <v>8625491.5413016882</v>
      </c>
      <c r="AP21" s="51">
        <f t="shared" si="10"/>
        <v>8597586.8573838342</v>
      </c>
      <c r="AQ21" s="51">
        <f t="shared" si="10"/>
        <v>8570388.7378790509</v>
      </c>
      <c r="AR21" s="51">
        <f t="shared" si="10"/>
        <v>8579303.6500181817</v>
      </c>
      <c r="AS21" s="51">
        <f t="shared" si="10"/>
        <v>8604306.8873945586</v>
      </c>
      <c r="AT21" s="51">
        <f t="shared" si="10"/>
        <v>8611406.0837225821</v>
      </c>
      <c r="AU21" s="51">
        <f t="shared" si="10"/>
        <v>8671393.2896520477</v>
      </c>
      <c r="AV21" s="51">
        <f t="shared" si="10"/>
        <v>8744931.6192999408</v>
      </c>
      <c r="AW21" s="51">
        <f t="shared" si="10"/>
        <v>8830342.7885643542</v>
      </c>
      <c r="AX21" s="51">
        <f t="shared" si="10"/>
        <v>8965978.5614152104</v>
      </c>
      <c r="AY21" s="51">
        <f t="shared" si="10"/>
        <v>9134146.3594593033</v>
      </c>
      <c r="AZ21" s="51">
        <f t="shared" si="10"/>
        <v>9269897.0347848721</v>
      </c>
      <c r="BA21" s="51">
        <f t="shared" si="10"/>
        <v>9547458.8335852083</v>
      </c>
      <c r="BB21" s="51">
        <f t="shared" si="10"/>
        <v>9855079.018458819</v>
      </c>
      <c r="BC21" s="51">
        <f t="shared" si="10"/>
        <v>10219322.08814496</v>
      </c>
      <c r="BD21" s="51">
        <f t="shared" si="10"/>
        <v>10613349.414027046</v>
      </c>
      <c r="BE21" s="51">
        <f t="shared" si="10"/>
        <v>11079049.048738305</v>
      </c>
      <c r="BF21" s="51">
        <f t="shared" si="10"/>
        <v>11550375.835486416</v>
      </c>
      <c r="BG21" s="51">
        <f t="shared" si="10"/>
        <v>12070259.180709392</v>
      </c>
      <c r="BH21" s="51">
        <f t="shared" si="10"/>
        <v>12653865.031880714</v>
      </c>
      <c r="BI21" s="51">
        <f t="shared" si="10"/>
        <v>13275454.19827074</v>
      </c>
      <c r="BJ21" s="51">
        <f t="shared" si="10"/>
        <v>13964584.195532525</v>
      </c>
      <c r="BK21" s="51">
        <f t="shared" si="10"/>
        <v>14709490.791691268</v>
      </c>
      <c r="BL21" s="51">
        <f t="shared" si="10"/>
        <v>15162878.385961279</v>
      </c>
      <c r="BN21" s="51">
        <f t="shared" si="8"/>
        <v>268918</v>
      </c>
      <c r="BO21" s="51">
        <f t="shared" si="8"/>
        <v>2159081.1140829637</v>
      </c>
      <c r="BP21" s="51">
        <f t="shared" si="8"/>
        <v>10122507.837510761</v>
      </c>
      <c r="BQ21" s="51">
        <f t="shared" si="8"/>
        <v>8659551.166743014</v>
      </c>
      <c r="BR21" s="51">
        <f t="shared" si="8"/>
        <v>9269897.0347848721</v>
      </c>
      <c r="BS21" s="51">
        <f t="shared" si="8"/>
        <v>15162878.385961279</v>
      </c>
    </row>
    <row r="22" spans="1:71" x14ac:dyDescent="0.25">
      <c r="A22" s="44" t="s">
        <v>621</v>
      </c>
      <c r="B22" s="10" t="s">
        <v>83</v>
      </c>
      <c r="D22" s="52">
        <f t="shared" ref="D22:AI22" si="11">D17+D21</f>
        <v>268918</v>
      </c>
      <c r="E22" s="51">
        <f t="shared" si="11"/>
        <v>3711836.196</v>
      </c>
      <c r="F22" s="51">
        <f t="shared" si="11"/>
        <v>3618290.9437842397</v>
      </c>
      <c r="G22" s="51">
        <f t="shared" si="11"/>
        <v>3502171.5929185874</v>
      </c>
      <c r="H22" s="51">
        <f t="shared" si="11"/>
        <v>3378796.1098589157</v>
      </c>
      <c r="I22" s="51">
        <f t="shared" si="11"/>
        <v>3259467.9001950845</v>
      </c>
      <c r="J22" s="51">
        <f t="shared" si="11"/>
        <v>3126352.5753983893</v>
      </c>
      <c r="K22" s="51">
        <f t="shared" si="11"/>
        <v>2995763.1802872377</v>
      </c>
      <c r="L22" s="51">
        <f t="shared" si="11"/>
        <v>2859401.7467860207</v>
      </c>
      <c r="M22" s="51">
        <f t="shared" si="11"/>
        <v>2704839.8324718392</v>
      </c>
      <c r="N22" s="51">
        <f t="shared" si="11"/>
        <v>2549642.056731218</v>
      </c>
      <c r="O22" s="51">
        <f t="shared" si="11"/>
        <v>2394431.8945806334</v>
      </c>
      <c r="P22" s="51">
        <f t="shared" si="11"/>
        <v>2247124.4031267553</v>
      </c>
      <c r="Q22" s="51">
        <f t="shared" si="11"/>
        <v>2083551.5353615661</v>
      </c>
      <c r="R22" s="51">
        <f t="shared" si="11"/>
        <v>1917364.8048477778</v>
      </c>
      <c r="S22" s="51">
        <f t="shared" si="11"/>
        <v>1749951.898849963</v>
      </c>
      <c r="T22" s="51">
        <f t="shared" si="11"/>
        <v>1580983.626089707</v>
      </c>
      <c r="U22" s="51">
        <f t="shared" si="11"/>
        <v>1415355.9263196681</v>
      </c>
      <c r="V22" s="51">
        <f t="shared" si="11"/>
        <v>1250081.8174448898</v>
      </c>
      <c r="W22" s="51">
        <f t="shared" si="11"/>
        <v>1065697.1975957705</v>
      </c>
      <c r="X22" s="51">
        <f t="shared" si="11"/>
        <v>938327.19879712269</v>
      </c>
      <c r="Y22" s="51">
        <f t="shared" si="11"/>
        <v>10779268.286136875</v>
      </c>
      <c r="Z22" s="51">
        <f t="shared" si="11"/>
        <v>10599343.395694951</v>
      </c>
      <c r="AA22" s="51">
        <f t="shared" si="11"/>
        <v>10434692.541722372</v>
      </c>
      <c r="AB22" s="51">
        <f t="shared" si="11"/>
        <v>10289053.243394403</v>
      </c>
      <c r="AC22" s="51">
        <f t="shared" si="11"/>
        <v>10169508.347854728</v>
      </c>
      <c r="AD22" s="51">
        <f t="shared" si="11"/>
        <v>10044642.506875016</v>
      </c>
      <c r="AE22" s="51">
        <f t="shared" si="11"/>
        <v>9931316.6102704592</v>
      </c>
      <c r="AF22" s="51">
        <f t="shared" si="11"/>
        <v>9801372.217361588</v>
      </c>
      <c r="AG22" s="51">
        <f t="shared" si="11"/>
        <v>9692951.9148442466</v>
      </c>
      <c r="AH22" s="51">
        <f t="shared" si="11"/>
        <v>9565767.4118194189</v>
      </c>
      <c r="AI22" s="51">
        <f t="shared" si="11"/>
        <v>9395075.4285279065</v>
      </c>
      <c r="AJ22" s="51">
        <f t="shared" ref="AJ22:BO22" si="12">AJ17+AJ21</f>
        <v>9285772.5262082312</v>
      </c>
      <c r="AK22" s="51">
        <f t="shared" si="12"/>
        <v>9184826.4577445537</v>
      </c>
      <c r="AL22" s="51">
        <f t="shared" si="12"/>
        <v>9105776.1959883552</v>
      </c>
      <c r="AM22" s="51">
        <f t="shared" si="12"/>
        <v>9048131.4730874468</v>
      </c>
      <c r="AN22" s="51">
        <f t="shared" si="12"/>
        <v>8968841.9752671458</v>
      </c>
      <c r="AO22" s="51">
        <f t="shared" si="12"/>
        <v>8946448.2605433259</v>
      </c>
      <c r="AP22" s="51">
        <f t="shared" si="12"/>
        <v>8931147.9586286861</v>
      </c>
      <c r="AQ22" s="51">
        <f t="shared" si="12"/>
        <v>8918941.4891913347</v>
      </c>
      <c r="AR22" s="51">
        <f t="shared" si="12"/>
        <v>8941295.8159917239</v>
      </c>
      <c r="AS22" s="51">
        <f t="shared" si="12"/>
        <v>8983135.1223675795</v>
      </c>
      <c r="AT22" s="51">
        <f t="shared" si="12"/>
        <v>9010127.0425518043</v>
      </c>
      <c r="AU22" s="51">
        <f t="shared" si="12"/>
        <v>9083612.0234603174</v>
      </c>
      <c r="AV22" s="51">
        <f t="shared" si="12"/>
        <v>9175840.4783213865</v>
      </c>
      <c r="AW22" s="51">
        <f t="shared" si="12"/>
        <v>9280294.1451578792</v>
      </c>
      <c r="AX22" s="51">
        <f t="shared" si="12"/>
        <v>9431273.2056830786</v>
      </c>
      <c r="AY22" s="51">
        <f t="shared" si="12"/>
        <v>9615922.4019641969</v>
      </c>
      <c r="AZ22" s="51">
        <f t="shared" si="12"/>
        <v>9768841.5242130626</v>
      </c>
      <c r="BA22" s="51">
        <f t="shared" si="12"/>
        <v>10060745.401278358</v>
      </c>
      <c r="BB22" s="51">
        <f t="shared" si="12"/>
        <v>10384045.279411294</v>
      </c>
      <c r="BC22" s="51">
        <f t="shared" si="12"/>
        <v>10762294.671127653</v>
      </c>
      <c r="BD22" s="51">
        <f t="shared" si="12"/>
        <v>11174504.39416125</v>
      </c>
      <c r="BE22" s="51">
        <f t="shared" si="12"/>
        <v>11655925.076236624</v>
      </c>
      <c r="BF22" s="51">
        <f t="shared" si="12"/>
        <v>12147710.49943159</v>
      </c>
      <c r="BG22" s="51">
        <f t="shared" si="12"/>
        <v>12685589.01428457</v>
      </c>
      <c r="BH22" s="51">
        <f t="shared" si="12"/>
        <v>13286525.517569298</v>
      </c>
      <c r="BI22" s="51">
        <f t="shared" si="12"/>
        <v>13927479.773025969</v>
      </c>
      <c r="BJ22" s="51">
        <f t="shared" si="12"/>
        <v>14634408.255917046</v>
      </c>
      <c r="BK22" s="51">
        <f t="shared" si="12"/>
        <v>15398245.69898688</v>
      </c>
      <c r="BL22" s="51">
        <f t="shared" si="12"/>
        <v>15871245.471249091</v>
      </c>
      <c r="BN22" s="51">
        <f t="shared" si="8"/>
        <v>268918</v>
      </c>
      <c r="BO22" s="51">
        <f t="shared" si="8"/>
        <v>2247124.4031267553</v>
      </c>
      <c r="BP22" s="51">
        <f t="shared" si="8"/>
        <v>10289053.243394403</v>
      </c>
      <c r="BQ22" s="51">
        <f t="shared" si="8"/>
        <v>8968841.9752671458</v>
      </c>
      <c r="BR22" s="51">
        <f t="shared" si="8"/>
        <v>9768841.5242130626</v>
      </c>
      <c r="BS22" s="51">
        <f t="shared" si="8"/>
        <v>15871245.471249091</v>
      </c>
    </row>
    <row r="23" spans="1:71" x14ac:dyDescent="0.25">
      <c r="A23" s="19" t="s">
        <v>622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N23" s="20"/>
      <c r="BO23" s="20"/>
      <c r="BP23" s="20"/>
      <c r="BQ23" s="20"/>
      <c r="BR23" s="20"/>
      <c r="BS23" s="20"/>
    </row>
    <row r="24" spans="1:71" x14ac:dyDescent="0.25">
      <c r="A24" s="44" t="s">
        <v>623</v>
      </c>
      <c r="B24" s="10" t="s">
        <v>83</v>
      </c>
      <c r="D24" s="61">
        <f t="shared" ref="D24:AI24" si="13">D14-D22</f>
        <v>0</v>
      </c>
      <c r="E24" s="62">
        <f t="shared" si="13"/>
        <v>0</v>
      </c>
      <c r="F24" s="62">
        <f t="shared" si="13"/>
        <v>0</v>
      </c>
      <c r="G24" s="62">
        <f t="shared" si="13"/>
        <v>0</v>
      </c>
      <c r="H24" s="62">
        <f t="shared" si="13"/>
        <v>0</v>
      </c>
      <c r="I24" s="62">
        <f t="shared" si="13"/>
        <v>0</v>
      </c>
      <c r="J24" s="62">
        <f t="shared" si="13"/>
        <v>0</v>
      </c>
      <c r="K24" s="62">
        <f t="shared" si="13"/>
        <v>0</v>
      </c>
      <c r="L24" s="62">
        <f t="shared" si="13"/>
        <v>0</v>
      </c>
      <c r="M24" s="62">
        <f t="shared" si="13"/>
        <v>0</v>
      </c>
      <c r="N24" s="62">
        <f t="shared" si="13"/>
        <v>0</v>
      </c>
      <c r="O24" s="62">
        <f t="shared" si="13"/>
        <v>0</v>
      </c>
      <c r="P24" s="62">
        <f t="shared" si="13"/>
        <v>0</v>
      </c>
      <c r="Q24" s="62">
        <f t="shared" si="13"/>
        <v>0</v>
      </c>
      <c r="R24" s="62">
        <f t="shared" si="13"/>
        <v>0</v>
      </c>
      <c r="S24" s="62">
        <f t="shared" si="13"/>
        <v>0</v>
      </c>
      <c r="T24" s="62">
        <f t="shared" si="13"/>
        <v>0</v>
      </c>
      <c r="U24" s="62">
        <f t="shared" si="13"/>
        <v>0</v>
      </c>
      <c r="V24" s="62">
        <f t="shared" si="13"/>
        <v>0</v>
      </c>
      <c r="W24" s="62">
        <f t="shared" si="13"/>
        <v>0</v>
      </c>
      <c r="X24" s="62">
        <f t="shared" si="13"/>
        <v>0</v>
      </c>
      <c r="Y24" s="62">
        <f t="shared" si="13"/>
        <v>0</v>
      </c>
      <c r="Z24" s="62">
        <f t="shared" si="13"/>
        <v>0</v>
      </c>
      <c r="AA24" s="62">
        <f t="shared" si="13"/>
        <v>0</v>
      </c>
      <c r="AB24" s="62">
        <f t="shared" si="13"/>
        <v>0</v>
      </c>
      <c r="AC24" s="62">
        <f t="shared" si="13"/>
        <v>0</v>
      </c>
      <c r="AD24" s="62">
        <f t="shared" si="13"/>
        <v>0</v>
      </c>
      <c r="AE24" s="62">
        <f t="shared" si="13"/>
        <v>0</v>
      </c>
      <c r="AF24" s="62">
        <f t="shared" si="13"/>
        <v>0</v>
      </c>
      <c r="AG24" s="62">
        <f t="shared" si="13"/>
        <v>0</v>
      </c>
      <c r="AH24" s="62">
        <f t="shared" si="13"/>
        <v>0</v>
      </c>
      <c r="AI24" s="62">
        <f t="shared" si="13"/>
        <v>0</v>
      </c>
      <c r="AJ24" s="62">
        <f t="shared" ref="AJ24:BL24" si="14">AJ14-AJ22</f>
        <v>0</v>
      </c>
      <c r="AK24" s="62">
        <f t="shared" si="14"/>
        <v>0</v>
      </c>
      <c r="AL24" s="62">
        <f t="shared" si="14"/>
        <v>0</v>
      </c>
      <c r="AM24" s="62">
        <f t="shared" si="14"/>
        <v>0</v>
      </c>
      <c r="AN24" s="62">
        <f t="shared" si="14"/>
        <v>0</v>
      </c>
      <c r="AO24" s="62">
        <f t="shared" si="14"/>
        <v>0</v>
      </c>
      <c r="AP24" s="62">
        <f t="shared" si="14"/>
        <v>0</v>
      </c>
      <c r="AQ24" s="62">
        <f t="shared" si="14"/>
        <v>0</v>
      </c>
      <c r="AR24" s="62">
        <f t="shared" si="14"/>
        <v>0</v>
      </c>
      <c r="AS24" s="62">
        <f t="shared" si="14"/>
        <v>0</v>
      </c>
      <c r="AT24" s="62">
        <f t="shared" si="14"/>
        <v>0</v>
      </c>
      <c r="AU24" s="62">
        <f t="shared" si="14"/>
        <v>0</v>
      </c>
      <c r="AV24" s="62">
        <f t="shared" si="14"/>
        <v>0</v>
      </c>
      <c r="AW24" s="62">
        <f t="shared" si="14"/>
        <v>0</v>
      </c>
      <c r="AX24" s="62">
        <f t="shared" si="14"/>
        <v>0</v>
      </c>
      <c r="AY24" s="62">
        <f t="shared" si="14"/>
        <v>0</v>
      </c>
      <c r="AZ24" s="62">
        <f t="shared" si="14"/>
        <v>0</v>
      </c>
      <c r="BA24" s="62">
        <f t="shared" si="14"/>
        <v>0</v>
      </c>
      <c r="BB24" s="62">
        <f t="shared" si="14"/>
        <v>0</v>
      </c>
      <c r="BC24" s="62">
        <f t="shared" si="14"/>
        <v>0</v>
      </c>
      <c r="BD24" s="62">
        <f t="shared" si="14"/>
        <v>0</v>
      </c>
      <c r="BE24" s="62">
        <f t="shared" si="14"/>
        <v>0</v>
      </c>
      <c r="BF24" s="62">
        <f t="shared" si="14"/>
        <v>0</v>
      </c>
      <c r="BG24" s="62">
        <f t="shared" si="14"/>
        <v>0</v>
      </c>
      <c r="BH24" s="62">
        <f t="shared" si="14"/>
        <v>0</v>
      </c>
      <c r="BI24" s="62">
        <f t="shared" si="14"/>
        <v>0</v>
      </c>
      <c r="BJ24" s="62">
        <f t="shared" si="14"/>
        <v>0</v>
      </c>
      <c r="BK24" s="62">
        <f t="shared" si="14"/>
        <v>0</v>
      </c>
      <c r="BL24" s="62">
        <f t="shared" si="14"/>
        <v>0</v>
      </c>
      <c r="BN24" s="62">
        <f t="shared" ref="BN24:BS24" si="15">INDEX($D24:$BL24,(BN$4-start_year+1)*12+1)</f>
        <v>0</v>
      </c>
      <c r="BO24" s="62">
        <f t="shared" si="15"/>
        <v>0</v>
      </c>
      <c r="BP24" s="62">
        <f t="shared" si="15"/>
        <v>0</v>
      </c>
      <c r="BQ24" s="62">
        <f t="shared" si="15"/>
        <v>0</v>
      </c>
      <c r="BR24" s="62">
        <f t="shared" si="15"/>
        <v>0</v>
      </c>
      <c r="BS24" s="62">
        <f t="shared" si="15"/>
        <v>0</v>
      </c>
    </row>
  </sheetData>
  <mergeCells count="1">
    <mergeCell ref="G1:I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3A35B"/>
    <pageSetUpPr fitToPage="1"/>
  </sheetPr>
  <dimension ref="A1:L49"/>
  <sheetViews>
    <sheetView showGridLines="0" workbookViewId="0"/>
  </sheetViews>
  <sheetFormatPr defaultRowHeight="15" x14ac:dyDescent="0.25"/>
  <cols>
    <col min="1" max="1" width="58" customWidth="1"/>
    <col min="2" max="2" width="16" customWidth="1"/>
    <col min="3" max="3" width="10" customWidth="1"/>
    <col min="4" max="4" width="3" customWidth="1"/>
    <col min="5" max="5" width="8" customWidth="1"/>
    <col min="6" max="6" width="34" customWidth="1"/>
    <col min="7" max="7" width="12" customWidth="1"/>
    <col min="8" max="8" width="3" customWidth="1"/>
    <col min="9" max="9" width="8" customWidth="1"/>
    <col min="10" max="10" width="16" customWidth="1"/>
    <col min="11" max="12" width="13" customWidth="1"/>
  </cols>
  <sheetData>
    <row r="1" spans="1:12" ht="19.5" x14ac:dyDescent="0.3">
      <c r="A1" s="17" t="s">
        <v>624</v>
      </c>
      <c r="I1" s="125" t="s">
        <v>1</v>
      </c>
      <c r="J1" s="122"/>
      <c r="K1" s="122"/>
      <c r="L1" s="122"/>
    </row>
    <row r="2" spans="1:12" x14ac:dyDescent="0.25">
      <c r="A2" s="4" t="s">
        <v>625</v>
      </c>
    </row>
    <row r="4" spans="1:12" x14ac:dyDescent="0.25">
      <c r="A4" s="7" t="s">
        <v>626</v>
      </c>
      <c r="B4" s="7" t="s">
        <v>32</v>
      </c>
      <c r="C4" s="7" t="s">
        <v>63</v>
      </c>
      <c r="E4" s="63" t="s">
        <v>435</v>
      </c>
      <c r="F4" s="63" t="s">
        <v>627</v>
      </c>
      <c r="G4" s="63" t="s">
        <v>628</v>
      </c>
      <c r="I4" s="63" t="s">
        <v>629</v>
      </c>
      <c r="J4" s="63" t="s">
        <v>630</v>
      </c>
      <c r="K4" s="63" t="s">
        <v>496</v>
      </c>
      <c r="L4" s="63" t="s">
        <v>631</v>
      </c>
    </row>
    <row r="5" spans="1:12" x14ac:dyDescent="0.25">
      <c r="A5" s="19" t="s">
        <v>632</v>
      </c>
      <c r="B5" s="20"/>
      <c r="C5" s="20"/>
      <c r="E5" s="21">
        <v>0</v>
      </c>
      <c r="F5" s="64">
        <f t="shared" ref="F5:F29" si="0">E5*$B$11</f>
        <v>0</v>
      </c>
      <c r="G5" s="64">
        <f t="shared" ref="G5:G29" si="1">$B$16</f>
        <v>11291.926255562619</v>
      </c>
      <c r="I5" s="65">
        <f>start_year+0</f>
        <v>2027</v>
      </c>
      <c r="J5" s="64">
        <f>INDEX(Monthly!$E$49:$BL$49,12)/INDEX(Monthly!$D$40:$BL$40,12)</f>
        <v>1706.2134605515591</v>
      </c>
      <c r="K5" s="41">
        <f>SUMIFS(Monthly!$E$58:$BL$58,Monthly!$E$6:$BL$6,I5)/SUMIFS(Monthly!$E$49:$BL$49,Monthly!$E$6:$BL$6,I5)</f>
        <v>0.64526518731756577</v>
      </c>
      <c r="L5" s="64">
        <f>SUMIFS(Monthly!$E$64:$BL$64,Monthly!$E$6:$BL$6,I5)/SUMIFS(Monthly!$E$35:$BL$35,Monthly!$E$6:$BL$6,I5)</f>
        <v>8534.5821325648431</v>
      </c>
    </row>
    <row r="6" spans="1:12" x14ac:dyDescent="0.25">
      <c r="A6" s="8" t="s">
        <v>633</v>
      </c>
      <c r="B6" s="52">
        <f>INDEX(Monthly!$E$49:$BL$49,ue_month)</f>
        <v>366167.48972548521</v>
      </c>
      <c r="C6" s="10" t="s">
        <v>83</v>
      </c>
      <c r="E6" s="21">
        <v>1</v>
      </c>
      <c r="F6" s="64">
        <f t="shared" si="0"/>
        <v>1377.5924703343651</v>
      </c>
      <c r="G6" s="64">
        <f t="shared" si="1"/>
        <v>11291.926255562619</v>
      </c>
      <c r="I6" s="65">
        <f>start_year+1</f>
        <v>2028</v>
      </c>
      <c r="J6" s="64">
        <f>INDEX(Monthly!$E$49:$BL$49,24)/INDEX(Monthly!$D$40:$BL$40,24)</f>
        <v>1805.9065355272151</v>
      </c>
      <c r="K6" s="41">
        <f>SUMIFS(Monthly!$E$58:$BL$58,Monthly!$E$6:$BL$6,I6)/SUMIFS(Monthly!$E$49:$BL$49,Monthly!$E$6:$BL$6,I6)</f>
        <v>0.74217895429322511</v>
      </c>
      <c r="L6" s="64">
        <f>SUMIFS(Monthly!$E$64:$BL$64,Monthly!$E$6:$BL$6,I6)/SUMIFS(Monthly!$E$35:$BL$35,Monthly!$E$6:$BL$6,I6)</f>
        <v>11291.926255562619</v>
      </c>
    </row>
    <row r="7" spans="1:12" x14ac:dyDescent="0.25">
      <c r="A7" s="8" t="s">
        <v>634</v>
      </c>
      <c r="B7" s="49">
        <f>INDEX(Monthly!$D$40:$BL$40,ue_month)</f>
        <v>202.76104135067351</v>
      </c>
      <c r="C7" s="10" t="s">
        <v>136</v>
      </c>
      <c r="E7" s="21">
        <v>2</v>
      </c>
      <c r="F7" s="64">
        <f t="shared" si="0"/>
        <v>2755.1849406687302</v>
      </c>
      <c r="G7" s="64">
        <f t="shared" si="1"/>
        <v>11291.926255562619</v>
      </c>
      <c r="I7" s="65">
        <f>start_year+2</f>
        <v>2029</v>
      </c>
      <c r="J7" s="64">
        <f>INDEX(Monthly!$E$49:$BL$49,36)/INDEX(Monthly!$D$40:$BL$40,36)</f>
        <v>1910.6815402125228</v>
      </c>
      <c r="K7" s="41">
        <f>SUMIFS(Monthly!$E$58:$BL$58,Monthly!$E$6:$BL$6,I7)/SUMIFS(Monthly!$E$49:$BL$49,Monthly!$E$6:$BL$6,I7)</f>
        <v>0.78310264868391966</v>
      </c>
      <c r="L7" s="64">
        <f>SUMIFS(Monthly!$E$64:$BL$64,Monthly!$E$6:$BL$6,I7)/SUMIFS(Monthly!$E$35:$BL$35,Monthly!$E$6:$BL$6,I7)</f>
        <v>11252.868970236059</v>
      </c>
    </row>
    <row r="8" spans="1:12" x14ac:dyDescent="0.25">
      <c r="A8" s="8" t="s">
        <v>635</v>
      </c>
      <c r="B8" s="66">
        <f>B6/B7</f>
        <v>1805.9065355272151</v>
      </c>
      <c r="C8" s="10" t="s">
        <v>83</v>
      </c>
      <c r="E8" s="21">
        <v>3</v>
      </c>
      <c r="F8" s="64">
        <f t="shared" si="0"/>
        <v>4132.777411003095</v>
      </c>
      <c r="G8" s="64">
        <f t="shared" si="1"/>
        <v>11291.926255562619</v>
      </c>
      <c r="I8" s="65">
        <f>start_year+3</f>
        <v>2030</v>
      </c>
      <c r="J8" s="64">
        <f>INDEX(Monthly!$E$49:$BL$49,48)/INDEX(Monthly!$D$40:$BL$40,48)</f>
        <v>2022.4993739476056</v>
      </c>
      <c r="K8" s="41">
        <f>SUMIFS(Monthly!$E$58:$BL$58,Monthly!$E$6:$BL$6,I8)/SUMIFS(Monthly!$E$49:$BL$49,Monthly!$E$6:$BL$6,I8)</f>
        <v>0.79929186908091709</v>
      </c>
      <c r="L8" s="64">
        <f>SUMIFS(Monthly!$E$64:$BL$64,Monthly!$E$6:$BL$6,I8)/SUMIFS(Monthly!$E$35:$BL$35,Monthly!$E$6:$BL$6,I8)</f>
        <v>11609.628836216101</v>
      </c>
    </row>
    <row r="9" spans="1:12" x14ac:dyDescent="0.25">
      <c r="A9" s="8" t="s">
        <v>636</v>
      </c>
      <c r="B9" s="66">
        <f>B8*12</f>
        <v>21670.878426326581</v>
      </c>
      <c r="C9" s="10" t="s">
        <v>83</v>
      </c>
      <c r="E9" s="21">
        <v>4</v>
      </c>
      <c r="F9" s="64">
        <f t="shared" si="0"/>
        <v>5510.3698813374604</v>
      </c>
      <c r="G9" s="64">
        <f t="shared" si="1"/>
        <v>11291.926255562619</v>
      </c>
      <c r="I9" s="65">
        <f>start_year+4</f>
        <v>2031</v>
      </c>
      <c r="J9" s="64">
        <f>INDEX(Monthly!$E$49:$BL$49,60)/INDEX(Monthly!$D$40:$BL$40,60)</f>
        <v>2146.643992834875</v>
      </c>
      <c r="K9" s="41">
        <f>SUMIFS(Monthly!$E$58:$BL$58,Monthly!$E$6:$BL$6,I9)/SUMIFS(Monthly!$E$49:$BL$49,Monthly!$E$6:$BL$6,I9)</f>
        <v>0.81258263579611223</v>
      </c>
      <c r="L9" s="64">
        <f>SUMIFS(Monthly!$E$64:$BL$64,Monthly!$E$6:$BL$6,I9)/SUMIFS(Monthly!$E$35:$BL$35,Monthly!$E$6:$BL$6,I9)</f>
        <v>12047.325876445433</v>
      </c>
    </row>
    <row r="10" spans="1:12" x14ac:dyDescent="0.25">
      <c r="A10" s="8" t="s">
        <v>637</v>
      </c>
      <c r="B10" s="52">
        <f>INDEX(Monthly!$E$58:$BL$58,ue_month)</f>
        <v>279322.08384184266</v>
      </c>
      <c r="C10" s="10" t="s">
        <v>83</v>
      </c>
      <c r="E10" s="21">
        <v>5</v>
      </c>
      <c r="F10" s="64">
        <f t="shared" si="0"/>
        <v>6887.9623516718257</v>
      </c>
      <c r="G10" s="64">
        <f t="shared" si="1"/>
        <v>11291.926255562619</v>
      </c>
    </row>
    <row r="11" spans="1:12" x14ac:dyDescent="0.25">
      <c r="A11" s="8" t="s">
        <v>638</v>
      </c>
      <c r="B11" s="66">
        <f>B10/B7</f>
        <v>1377.5924703343651</v>
      </c>
      <c r="C11" s="10" t="s">
        <v>83</v>
      </c>
      <c r="E11" s="21">
        <v>6</v>
      </c>
      <c r="F11" s="64">
        <f t="shared" si="0"/>
        <v>8265.5548220061901</v>
      </c>
      <c r="G11" s="64">
        <f t="shared" si="1"/>
        <v>11291.926255562619</v>
      </c>
    </row>
    <row r="12" spans="1:12" x14ac:dyDescent="0.25">
      <c r="A12" s="8" t="s">
        <v>639</v>
      </c>
      <c r="B12" s="67">
        <f>B10/B6</f>
        <v>0.76282600634821429</v>
      </c>
      <c r="C12" s="10" t="s">
        <v>129</v>
      </c>
      <c r="E12" s="21">
        <v>7</v>
      </c>
      <c r="F12" s="64">
        <f t="shared" si="0"/>
        <v>9643.1472923405563</v>
      </c>
      <c r="G12" s="64">
        <f t="shared" si="1"/>
        <v>11291.926255562619</v>
      </c>
    </row>
    <row r="13" spans="1:12" x14ac:dyDescent="0.25">
      <c r="A13" s="19" t="s">
        <v>640</v>
      </c>
      <c r="B13" s="20"/>
      <c r="C13" s="20"/>
      <c r="E13" s="21">
        <v>8</v>
      </c>
      <c r="F13" s="64">
        <f t="shared" si="0"/>
        <v>11020.739762674921</v>
      </c>
      <c r="G13" s="64">
        <f t="shared" si="1"/>
        <v>11291.926255562619</v>
      </c>
    </row>
    <row r="14" spans="1:12" x14ac:dyDescent="0.25">
      <c r="A14" s="8" t="s">
        <v>641</v>
      </c>
      <c r="B14" s="52">
        <f>SUMIFS(Monthly!$E$64:$BL$64,Monthly!$E$6:$BL$6,cac_year)</f>
        <v>1776220</v>
      </c>
      <c r="C14" s="10" t="s">
        <v>83</v>
      </c>
      <c r="E14" s="21">
        <v>9</v>
      </c>
      <c r="F14" s="64">
        <f t="shared" si="0"/>
        <v>12398.332233009285</v>
      </c>
      <c r="G14" s="64">
        <f t="shared" si="1"/>
        <v>11291.926255562619</v>
      </c>
    </row>
    <row r="15" spans="1:12" x14ac:dyDescent="0.25">
      <c r="A15" s="8" t="s">
        <v>642</v>
      </c>
      <c r="B15" s="49">
        <f>SUMIFS(Monthly!$E$35:$BL$35,Monthly!$E$6:$BL$6,cac_year)</f>
        <v>157.30000000000001</v>
      </c>
      <c r="C15" s="10" t="s">
        <v>136</v>
      </c>
      <c r="E15" s="21">
        <v>10</v>
      </c>
      <c r="F15" s="64">
        <f t="shared" si="0"/>
        <v>13775.924703343651</v>
      </c>
      <c r="G15" s="64">
        <f t="shared" si="1"/>
        <v>11291.926255562619</v>
      </c>
    </row>
    <row r="16" spans="1:12" x14ac:dyDescent="0.25">
      <c r="A16" s="8" t="s">
        <v>565</v>
      </c>
      <c r="B16" s="66">
        <f>B14/B15</f>
        <v>11291.926255562619</v>
      </c>
      <c r="C16" s="10" t="s">
        <v>83</v>
      </c>
      <c r="E16" s="21">
        <v>11</v>
      </c>
      <c r="F16" s="64">
        <f t="shared" si="0"/>
        <v>15153.517173678016</v>
      </c>
      <c r="G16" s="64">
        <f t="shared" si="1"/>
        <v>11291.926255562619</v>
      </c>
    </row>
    <row r="17" spans="1:7" x14ac:dyDescent="0.25">
      <c r="A17" s="8" t="s">
        <v>643</v>
      </c>
      <c r="B17" s="68">
        <f>B16/B11</f>
        <v>8.1968553826530979</v>
      </c>
      <c r="C17" s="10" t="s">
        <v>162</v>
      </c>
      <c r="E17" s="21">
        <v>12</v>
      </c>
      <c r="F17" s="64">
        <f t="shared" si="0"/>
        <v>16531.10964401238</v>
      </c>
      <c r="G17" s="64">
        <f t="shared" si="1"/>
        <v>11291.926255562619</v>
      </c>
    </row>
    <row r="18" spans="1:7" x14ac:dyDescent="0.25">
      <c r="A18" s="8" t="s">
        <v>644</v>
      </c>
      <c r="B18" s="66">
        <f>B11*(1-(1-churn)^ltv_months)/churn</f>
        <v>62383.359968341996</v>
      </c>
      <c r="C18" s="10" t="s">
        <v>83</v>
      </c>
      <c r="E18" s="21">
        <v>13</v>
      </c>
      <c r="F18" s="64">
        <f t="shared" si="0"/>
        <v>17908.702114346746</v>
      </c>
      <c r="G18" s="64">
        <f t="shared" si="1"/>
        <v>11291.926255562619</v>
      </c>
    </row>
    <row r="19" spans="1:7" x14ac:dyDescent="0.25">
      <c r="A19" s="8" t="s">
        <v>48</v>
      </c>
      <c r="B19" s="69">
        <f>B18/B16</f>
        <v>5.5245985987209894</v>
      </c>
      <c r="C19" s="10" t="s">
        <v>645</v>
      </c>
      <c r="E19" s="21">
        <v>14</v>
      </c>
      <c r="F19" s="64">
        <f t="shared" si="0"/>
        <v>19286.294584681113</v>
      </c>
      <c r="G19" s="64">
        <f t="shared" si="1"/>
        <v>11291.926255562619</v>
      </c>
    </row>
    <row r="20" spans="1:7" x14ac:dyDescent="0.25">
      <c r="A20" s="19" t="s">
        <v>646</v>
      </c>
      <c r="B20" s="20"/>
      <c r="C20" s="20"/>
      <c r="E20" s="21">
        <v>15</v>
      </c>
      <c r="F20" s="64">
        <f t="shared" si="0"/>
        <v>20663.887055015475</v>
      </c>
      <c r="G20" s="64">
        <f t="shared" si="1"/>
        <v>11291.926255562619</v>
      </c>
    </row>
    <row r="21" spans="1:7" x14ac:dyDescent="0.25">
      <c r="A21" s="8" t="s">
        <v>647</v>
      </c>
      <c r="B21" s="67">
        <f>(1-churn)^12</f>
        <v>0.88638487171612912</v>
      </c>
      <c r="C21" s="10" t="s">
        <v>129</v>
      </c>
      <c r="E21" s="21">
        <v>16</v>
      </c>
      <c r="F21" s="64">
        <f t="shared" si="0"/>
        <v>22041.479525349841</v>
      </c>
      <c r="G21" s="64">
        <f t="shared" si="1"/>
        <v>11291.926255562619</v>
      </c>
    </row>
    <row r="22" spans="1:7" x14ac:dyDescent="0.25">
      <c r="A22" s="8" t="s">
        <v>648</v>
      </c>
      <c r="B22" s="67">
        <f>((1-churn)*(1+cg_growth))^12*INDEX(Monthly!$E$16:$BL$16,13)/INDEX(Monthly!$E$16:$BL$16,12)</f>
        <v>0.99229460478806364</v>
      </c>
      <c r="C22" s="10" t="s">
        <v>129</v>
      </c>
      <c r="E22" s="21">
        <v>17</v>
      </c>
      <c r="F22" s="64">
        <f t="shared" si="0"/>
        <v>23419.071995684208</v>
      </c>
      <c r="G22" s="64">
        <f t="shared" si="1"/>
        <v>11291.926255562619</v>
      </c>
    </row>
    <row r="23" spans="1:7" x14ac:dyDescent="0.25">
      <c r="A23" s="19" t="s">
        <v>649</v>
      </c>
      <c r="B23" s="20"/>
      <c r="C23" s="20"/>
      <c r="E23" s="21">
        <v>18</v>
      </c>
      <c r="F23" s="64">
        <f t="shared" si="0"/>
        <v>24796.66446601857</v>
      </c>
      <c r="G23" s="64">
        <f t="shared" si="1"/>
        <v>11291.926255562619</v>
      </c>
    </row>
    <row r="24" spans="1:7" x14ac:dyDescent="0.25">
      <c r="A24" s="8" t="s">
        <v>650</v>
      </c>
      <c r="B24" s="70">
        <f>INDEX(Monthly!$E$16:$BL$16,1)</f>
        <v>19.324000000000002</v>
      </c>
      <c r="C24" s="10" t="s">
        <v>83</v>
      </c>
      <c r="E24" s="21">
        <v>19</v>
      </c>
      <c r="F24" s="64">
        <f t="shared" si="0"/>
        <v>26174.256936352936</v>
      </c>
      <c r="G24" s="64">
        <f t="shared" si="1"/>
        <v>11291.926255562619</v>
      </c>
    </row>
    <row r="25" spans="1:7" x14ac:dyDescent="0.25">
      <c r="A25" s="8" t="s">
        <v>651</v>
      </c>
      <c r="B25" s="70">
        <f>INDEX(Monthly!$E$16:$BL$16,49)</f>
        <v>22.801721923200002</v>
      </c>
      <c r="C25" s="10" t="s">
        <v>83</v>
      </c>
      <c r="E25" s="21">
        <v>20</v>
      </c>
      <c r="F25" s="64">
        <f t="shared" si="0"/>
        <v>27551.849406687303</v>
      </c>
      <c r="G25" s="64">
        <f t="shared" si="1"/>
        <v>11291.926255562619</v>
      </c>
    </row>
    <row r="26" spans="1:7" x14ac:dyDescent="0.25">
      <c r="A26" s="19" t="s">
        <v>331</v>
      </c>
      <c r="B26" s="20"/>
      <c r="C26" s="20"/>
      <c r="E26" s="21">
        <v>21</v>
      </c>
      <c r="F26" s="64">
        <f t="shared" si="0"/>
        <v>28929.441877021665</v>
      </c>
      <c r="G26" s="64">
        <f t="shared" si="1"/>
        <v>11291.926255562619</v>
      </c>
    </row>
    <row r="27" spans="1:7" x14ac:dyDescent="0.25">
      <c r="A27" s="8" t="s">
        <v>652</v>
      </c>
      <c r="B27" s="45">
        <f>mkt_us+mkt_uk+mkt_eu</f>
        <v>16400</v>
      </c>
      <c r="C27" s="10" t="s">
        <v>136</v>
      </c>
      <c r="E27" s="21">
        <v>22</v>
      </c>
      <c r="F27" s="64">
        <f t="shared" si="0"/>
        <v>30307.034347356032</v>
      </c>
      <c r="G27" s="64">
        <f t="shared" si="1"/>
        <v>11291.926255562619</v>
      </c>
    </row>
    <row r="28" spans="1:7" x14ac:dyDescent="0.25">
      <c r="A28" s="8" t="s">
        <v>653</v>
      </c>
      <c r="B28" s="70">
        <f>ROUND(B24,2)</f>
        <v>19.32</v>
      </c>
      <c r="C28" s="10" t="s">
        <v>83</v>
      </c>
      <c r="E28" s="21">
        <v>23</v>
      </c>
      <c r="F28" s="64">
        <f t="shared" si="0"/>
        <v>31684.626817690398</v>
      </c>
      <c r="G28" s="64">
        <f t="shared" si="1"/>
        <v>11291.926255562619</v>
      </c>
    </row>
    <row r="29" spans="1:7" x14ac:dyDescent="0.25">
      <c r="A29" s="8" t="s">
        <v>654</v>
      </c>
      <c r="B29" s="52">
        <f>mkt_us*mkt_cg*B28*12</f>
        <v>264297600</v>
      </c>
      <c r="C29" s="10" t="s">
        <v>83</v>
      </c>
      <c r="E29" s="21">
        <v>24</v>
      </c>
      <c r="F29" s="64">
        <f t="shared" si="0"/>
        <v>33062.21928802476</v>
      </c>
      <c r="G29" s="64">
        <f t="shared" si="1"/>
        <v>11291.926255562619</v>
      </c>
    </row>
    <row r="30" spans="1:7" x14ac:dyDescent="0.25">
      <c r="A30" s="8" t="s">
        <v>655</v>
      </c>
      <c r="B30" s="52">
        <f>mkt_uk*mkt_cg*B28*12</f>
        <v>77086800</v>
      </c>
      <c r="C30" s="10" t="s">
        <v>83</v>
      </c>
    </row>
    <row r="31" spans="1:7" x14ac:dyDescent="0.25">
      <c r="A31" s="8" t="s">
        <v>656</v>
      </c>
      <c r="B31" s="52">
        <f>mkt_eu*mkt_cg*B28*12</f>
        <v>19822320</v>
      </c>
      <c r="C31" s="10" t="s">
        <v>83</v>
      </c>
    </row>
    <row r="32" spans="1:7" x14ac:dyDescent="0.25">
      <c r="A32" s="8" t="s">
        <v>657</v>
      </c>
      <c r="B32" s="52">
        <f>B29+B30+B31</f>
        <v>361206720</v>
      </c>
      <c r="C32" s="10" t="s">
        <v>83</v>
      </c>
    </row>
    <row r="33" spans="1:3" x14ac:dyDescent="0.25">
      <c r="A33" s="8" t="s">
        <v>658</v>
      </c>
      <c r="B33" s="67">
        <f>SUMIFS(Monthly!$E$49:$BL$49,Monthly!$E$6:$BL$6,start_year+4)/B32</f>
        <v>7.668055704598635E-2</v>
      </c>
      <c r="C33" s="10" t="s">
        <v>129</v>
      </c>
    </row>
    <row r="34" spans="1:3" x14ac:dyDescent="0.25">
      <c r="A34" s="8" t="s">
        <v>659</v>
      </c>
      <c r="B34" s="67">
        <f>INDEX(Monthly!$E$40:$BL$40,60)/B27</f>
        <v>8.3175429213517879E-2</v>
      </c>
      <c r="C34" s="10" t="s">
        <v>129</v>
      </c>
    </row>
    <row r="35" spans="1:3" x14ac:dyDescent="0.25">
      <c r="A35" s="19" t="s">
        <v>660</v>
      </c>
      <c r="B35" s="20"/>
      <c r="C35" s="20"/>
    </row>
    <row r="36" spans="1:3" x14ac:dyDescent="0.25">
      <c r="A36" s="8" t="s">
        <v>40</v>
      </c>
      <c r="B36" s="52">
        <f>INDEX(Monthly!$E$50:$BL$50,60)</f>
        <v>32173345.895246241</v>
      </c>
      <c r="C36" s="10" t="s">
        <v>83</v>
      </c>
    </row>
    <row r="37" spans="1:3" x14ac:dyDescent="0.25">
      <c r="A37" s="8" t="s">
        <v>661</v>
      </c>
      <c r="B37" s="52">
        <f>exit_low*B36</f>
        <v>128693383.58098496</v>
      </c>
      <c r="C37" s="10" t="s">
        <v>83</v>
      </c>
    </row>
    <row r="38" spans="1:3" x14ac:dyDescent="0.25">
      <c r="A38" s="8" t="s">
        <v>662</v>
      </c>
      <c r="B38" s="52">
        <f>exit_mid*B36</f>
        <v>193040075.37147745</v>
      </c>
      <c r="C38" s="10" t="s">
        <v>83</v>
      </c>
    </row>
    <row r="39" spans="1:3" x14ac:dyDescent="0.25">
      <c r="A39" s="8" t="s">
        <v>663</v>
      </c>
      <c r="B39" s="52">
        <f>exit_high*B36</f>
        <v>257386767.16196993</v>
      </c>
      <c r="C39" s="10" t="s">
        <v>83</v>
      </c>
    </row>
    <row r="40" spans="1:3" x14ac:dyDescent="0.25">
      <c r="A40" s="8" t="s">
        <v>664</v>
      </c>
      <c r="B40" s="52">
        <f>exit_stake*B37</f>
        <v>20590941.372957595</v>
      </c>
      <c r="C40" s="10" t="s">
        <v>83</v>
      </c>
    </row>
    <row r="41" spans="1:3" x14ac:dyDescent="0.25">
      <c r="A41" s="8" t="s">
        <v>665</v>
      </c>
      <c r="B41" s="52">
        <f>exit_stake*B39</f>
        <v>41181882.745915189</v>
      </c>
      <c r="C41" s="10" t="s">
        <v>83</v>
      </c>
    </row>
    <row r="42" spans="1:3" x14ac:dyDescent="0.25">
      <c r="A42" s="8" t="s">
        <v>666</v>
      </c>
      <c r="B42" s="69">
        <f>B40/seed_amt</f>
        <v>5.8831261065593123</v>
      </c>
      <c r="C42" s="10" t="s">
        <v>645</v>
      </c>
    </row>
    <row r="43" spans="1:3" x14ac:dyDescent="0.25">
      <c r="A43" s="8" t="s">
        <v>667</v>
      </c>
      <c r="B43" s="69">
        <f>B41/seed_amt</f>
        <v>11.766252213118625</v>
      </c>
      <c r="C43" s="10" t="s">
        <v>645</v>
      </c>
    </row>
    <row r="44" spans="1:3" x14ac:dyDescent="0.25">
      <c r="A44" s="19" t="s">
        <v>668</v>
      </c>
      <c r="B44" s="20"/>
      <c r="C44" s="20"/>
    </row>
    <row r="45" spans="1:3" x14ac:dyDescent="0.25">
      <c r="A45" s="8" t="s">
        <v>669</v>
      </c>
      <c r="B45" s="45">
        <f>pa_cg*shifts_per_cg*open_rate*(1-pa_cov)*12</f>
        <v>550.23360000000002</v>
      </c>
      <c r="C45" s="10" t="s">
        <v>670</v>
      </c>
    </row>
    <row r="46" spans="1:3" x14ac:dyDescent="0.25">
      <c r="A46" s="8" t="s">
        <v>671</v>
      </c>
      <c r="B46" s="52">
        <f>B45*pa_rate*pa_hours</f>
        <v>70429.900800000003</v>
      </c>
      <c r="C46" s="10" t="s">
        <v>83</v>
      </c>
    </row>
    <row r="48" spans="1:3" x14ac:dyDescent="0.25">
      <c r="A48" s="4" t="s">
        <v>672</v>
      </c>
    </row>
    <row r="49" spans="1:1" x14ac:dyDescent="0.25">
      <c r="A49" s="4" t="s">
        <v>673</v>
      </c>
    </row>
  </sheetData>
  <mergeCells count="1">
    <mergeCell ref="I1:L1"/>
  </mergeCells>
  <pageMargins left="0.75" right="0.75" top="1" bottom="1" header="0.5" footer="0.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3A35B"/>
    <pageSetUpPr fitToPage="1"/>
  </sheetPr>
  <dimension ref="A1:G62"/>
  <sheetViews>
    <sheetView showGridLines="0" workbookViewId="0"/>
  </sheetViews>
  <sheetFormatPr defaultRowHeight="15" x14ac:dyDescent="0.25"/>
  <cols>
    <col min="1" max="1" width="3" customWidth="1"/>
    <col min="2" max="2" width="30" customWidth="1"/>
    <col min="3" max="7" width="16" customWidth="1"/>
  </cols>
  <sheetData>
    <row r="1" spans="1:7" ht="19.5" x14ac:dyDescent="0.3">
      <c r="A1" s="17" t="s">
        <v>674</v>
      </c>
      <c r="F1" s="125" t="s">
        <v>1</v>
      </c>
      <c r="G1" s="122"/>
    </row>
    <row r="2" spans="1:7" x14ac:dyDescent="0.25">
      <c r="A2" s="4" t="s">
        <v>675</v>
      </c>
    </row>
    <row r="4" spans="1:7" ht="15.75" x14ac:dyDescent="0.25">
      <c r="B4" s="5" t="s">
        <v>676</v>
      </c>
    </row>
    <row r="5" spans="1:7" x14ac:dyDescent="0.25">
      <c r="B5" s="4" t="s">
        <v>677</v>
      </c>
    </row>
    <row r="6" spans="1:7" x14ac:dyDescent="0.25">
      <c r="B6" s="10" t="s">
        <v>678</v>
      </c>
    </row>
    <row r="7" spans="1:7" x14ac:dyDescent="0.25">
      <c r="B7" s="53"/>
      <c r="C7" s="71">
        <v>9</v>
      </c>
      <c r="D7" s="71">
        <v>10.5</v>
      </c>
      <c r="E7" s="71">
        <v>12</v>
      </c>
      <c r="F7" s="71">
        <v>13.5</v>
      </c>
      <c r="G7" s="71">
        <v>15</v>
      </c>
    </row>
    <row r="8" spans="1:7" x14ac:dyDescent="0.25">
      <c r="B8" s="72">
        <v>1</v>
      </c>
      <c r="C8" s="73">
        <v>-5</v>
      </c>
      <c r="D8" s="73">
        <v>-3</v>
      </c>
      <c r="E8" s="73">
        <v>-1</v>
      </c>
      <c r="F8" s="73">
        <v>0</v>
      </c>
      <c r="G8" s="74">
        <v>1</v>
      </c>
    </row>
    <row r="9" spans="1:7" x14ac:dyDescent="0.25">
      <c r="B9" s="72">
        <v>1.5</v>
      </c>
      <c r="C9" s="73">
        <v>-3</v>
      </c>
      <c r="D9" s="73">
        <v>-1</v>
      </c>
      <c r="E9" s="74">
        <v>1</v>
      </c>
      <c r="F9" s="75">
        <v>3</v>
      </c>
      <c r="G9" s="75">
        <v>5</v>
      </c>
    </row>
    <row r="10" spans="1:7" x14ac:dyDescent="0.25">
      <c r="B10" s="72">
        <v>2</v>
      </c>
      <c r="C10" s="73">
        <v>-1</v>
      </c>
      <c r="D10" s="74">
        <v>2</v>
      </c>
      <c r="E10" s="76">
        <v>4</v>
      </c>
      <c r="F10" s="75">
        <v>7</v>
      </c>
      <c r="G10" s="75">
        <v>10</v>
      </c>
    </row>
    <row r="11" spans="1:7" x14ac:dyDescent="0.25">
      <c r="B11" s="72">
        <v>2.5</v>
      </c>
      <c r="C11" s="74">
        <v>1</v>
      </c>
      <c r="D11" s="75">
        <v>3</v>
      </c>
      <c r="E11" s="75">
        <v>6</v>
      </c>
      <c r="F11" s="75">
        <v>10</v>
      </c>
      <c r="G11" s="75" t="s">
        <v>679</v>
      </c>
    </row>
    <row r="12" spans="1:7" x14ac:dyDescent="0.25">
      <c r="B12" s="72">
        <v>3</v>
      </c>
      <c r="C12" s="74">
        <v>2</v>
      </c>
      <c r="D12" s="75">
        <v>5</v>
      </c>
      <c r="E12" s="75">
        <v>8</v>
      </c>
      <c r="F12" s="75" t="s">
        <v>679</v>
      </c>
      <c r="G12" s="75" t="s">
        <v>679</v>
      </c>
    </row>
    <row r="14" spans="1:7" x14ac:dyDescent="0.25">
      <c r="B14" s="44" t="s">
        <v>680</v>
      </c>
    </row>
    <row r="16" spans="1:7" ht="15.75" x14ac:dyDescent="0.25">
      <c r="B16" s="5" t="s">
        <v>681</v>
      </c>
    </row>
    <row r="17" spans="2:7" x14ac:dyDescent="0.25">
      <c r="B17" s="4" t="s">
        <v>682</v>
      </c>
    </row>
    <row r="18" spans="2:7" x14ac:dyDescent="0.25">
      <c r="B18" s="10" t="s">
        <v>678</v>
      </c>
    </row>
    <row r="19" spans="2:7" x14ac:dyDescent="0.25">
      <c r="B19" s="53"/>
      <c r="C19" s="71">
        <v>9</v>
      </c>
      <c r="D19" s="71">
        <v>10.5</v>
      </c>
      <c r="E19" s="71">
        <v>12</v>
      </c>
      <c r="F19" s="71">
        <v>13.5</v>
      </c>
      <c r="G19" s="71">
        <v>15</v>
      </c>
    </row>
    <row r="20" spans="2:7" x14ac:dyDescent="0.25">
      <c r="B20" s="72">
        <v>1</v>
      </c>
      <c r="C20" s="77">
        <v>27</v>
      </c>
      <c r="D20" s="77">
        <v>25</v>
      </c>
      <c r="E20" s="77">
        <v>24</v>
      </c>
      <c r="F20" s="77">
        <v>24</v>
      </c>
      <c r="G20" s="77">
        <v>24</v>
      </c>
    </row>
    <row r="21" spans="2:7" x14ac:dyDescent="0.25">
      <c r="B21" s="72">
        <v>1.5</v>
      </c>
      <c r="C21" s="77">
        <v>25</v>
      </c>
      <c r="D21" s="77">
        <v>23</v>
      </c>
      <c r="E21" s="77">
        <v>22</v>
      </c>
      <c r="F21" s="77">
        <v>21</v>
      </c>
      <c r="G21" s="77">
        <v>21</v>
      </c>
    </row>
    <row r="22" spans="2:7" x14ac:dyDescent="0.25">
      <c r="B22" s="72">
        <v>2</v>
      </c>
      <c r="C22" s="77">
        <v>23</v>
      </c>
      <c r="D22" s="77">
        <v>21</v>
      </c>
      <c r="E22" s="78">
        <v>20</v>
      </c>
      <c r="F22" s="77">
        <v>19</v>
      </c>
      <c r="G22" s="77">
        <v>19</v>
      </c>
    </row>
    <row r="23" spans="2:7" x14ac:dyDescent="0.25">
      <c r="B23" s="72">
        <v>2.5</v>
      </c>
      <c r="C23" s="77">
        <v>21</v>
      </c>
      <c r="D23" s="77">
        <v>20</v>
      </c>
      <c r="E23" s="77">
        <v>19</v>
      </c>
      <c r="F23" s="77">
        <v>18</v>
      </c>
      <c r="G23" s="77">
        <v>18</v>
      </c>
    </row>
    <row r="24" spans="2:7" x14ac:dyDescent="0.25">
      <c r="B24" s="72">
        <v>3</v>
      </c>
      <c r="C24" s="77">
        <v>20</v>
      </c>
      <c r="D24" s="77">
        <v>19</v>
      </c>
      <c r="E24" s="77">
        <v>18</v>
      </c>
      <c r="F24" s="77">
        <v>18</v>
      </c>
      <c r="G24" s="77">
        <v>17</v>
      </c>
    </row>
    <row r="26" spans="2:7" ht="15.75" x14ac:dyDescent="0.25">
      <c r="B26" s="5" t="s">
        <v>683</v>
      </c>
    </row>
    <row r="27" spans="2:7" x14ac:dyDescent="0.25">
      <c r="B27" s="4" t="s">
        <v>684</v>
      </c>
    </row>
    <row r="28" spans="2:7" x14ac:dyDescent="0.25">
      <c r="B28" s="10" t="s">
        <v>678</v>
      </c>
    </row>
    <row r="29" spans="2:7" x14ac:dyDescent="0.25">
      <c r="B29" s="53"/>
      <c r="C29" s="71">
        <v>9</v>
      </c>
      <c r="D29" s="71">
        <v>10.5</v>
      </c>
      <c r="E29" s="71">
        <v>12</v>
      </c>
      <c r="F29" s="71">
        <v>13.5</v>
      </c>
      <c r="G29" s="71">
        <v>15</v>
      </c>
    </row>
    <row r="30" spans="2:7" x14ac:dyDescent="0.25">
      <c r="B30" s="72">
        <v>1</v>
      </c>
      <c r="C30" s="77">
        <v>22</v>
      </c>
      <c r="D30" s="77">
        <v>22</v>
      </c>
      <c r="E30" s="77">
        <v>23</v>
      </c>
      <c r="F30" s="77">
        <v>24</v>
      </c>
      <c r="G30" s="77">
        <v>25</v>
      </c>
    </row>
    <row r="31" spans="2:7" x14ac:dyDescent="0.25">
      <c r="B31" s="72">
        <v>1.5</v>
      </c>
      <c r="C31" s="77">
        <v>22</v>
      </c>
      <c r="D31" s="77">
        <v>22</v>
      </c>
      <c r="E31" s="77">
        <v>23</v>
      </c>
      <c r="F31" s="77">
        <v>24</v>
      </c>
      <c r="G31" s="77">
        <v>26</v>
      </c>
    </row>
    <row r="32" spans="2:7" x14ac:dyDescent="0.25">
      <c r="B32" s="72">
        <v>2</v>
      </c>
      <c r="C32" s="77">
        <v>22</v>
      </c>
      <c r="D32" s="77">
        <v>23</v>
      </c>
      <c r="E32" s="78">
        <v>24</v>
      </c>
      <c r="F32" s="77">
        <v>26</v>
      </c>
      <c r="G32" s="77">
        <v>29</v>
      </c>
    </row>
    <row r="33" spans="2:7" x14ac:dyDescent="0.25">
      <c r="B33" s="72">
        <v>2.5</v>
      </c>
      <c r="C33" s="77">
        <v>22</v>
      </c>
      <c r="D33" s="77">
        <v>23</v>
      </c>
      <c r="E33" s="77">
        <v>25</v>
      </c>
      <c r="F33" s="77">
        <v>28</v>
      </c>
      <c r="G33" s="77" t="s">
        <v>685</v>
      </c>
    </row>
    <row r="34" spans="2:7" x14ac:dyDescent="0.25">
      <c r="B34" s="72">
        <v>3</v>
      </c>
      <c r="C34" s="77">
        <v>22</v>
      </c>
      <c r="D34" s="77">
        <v>24</v>
      </c>
      <c r="E34" s="77">
        <v>26</v>
      </c>
      <c r="F34" s="77" t="s">
        <v>685</v>
      </c>
      <c r="G34" s="77" t="s">
        <v>685</v>
      </c>
    </row>
    <row r="36" spans="2:7" ht="15.75" x14ac:dyDescent="0.25">
      <c r="B36" s="5" t="s">
        <v>686</v>
      </c>
    </row>
    <row r="37" spans="2:7" x14ac:dyDescent="0.25">
      <c r="B37" s="4" t="s">
        <v>687</v>
      </c>
    </row>
    <row r="38" spans="2:7" x14ac:dyDescent="0.25">
      <c r="B38" s="10" t="s">
        <v>688</v>
      </c>
    </row>
    <row r="39" spans="2:7" x14ac:dyDescent="0.25">
      <c r="B39" s="53"/>
      <c r="C39" s="79">
        <v>6.0000000000000001E-3</v>
      </c>
      <c r="D39" s="79">
        <v>8.0000000000000002E-3</v>
      </c>
      <c r="E39" s="79">
        <v>0.01</v>
      </c>
      <c r="F39" s="79">
        <v>1.4E-2</v>
      </c>
      <c r="G39" s="79">
        <v>1.7999999999999999E-2</v>
      </c>
    </row>
    <row r="40" spans="2:7" x14ac:dyDescent="0.25">
      <c r="B40" s="80">
        <v>10</v>
      </c>
      <c r="C40" s="81">
        <v>5</v>
      </c>
      <c r="D40" s="82">
        <v>4.2</v>
      </c>
      <c r="E40" s="83">
        <v>3.5</v>
      </c>
      <c r="F40" s="84">
        <v>2.1</v>
      </c>
      <c r="G40" s="85">
        <v>0.9</v>
      </c>
    </row>
    <row r="41" spans="2:7" x14ac:dyDescent="0.25">
      <c r="B41" s="80">
        <v>11</v>
      </c>
      <c r="C41" s="86">
        <v>6.5</v>
      </c>
      <c r="D41" s="87">
        <v>5.6</v>
      </c>
      <c r="E41" s="88">
        <v>4.9000000000000004</v>
      </c>
      <c r="F41" s="83">
        <v>3.4</v>
      </c>
      <c r="G41" s="89">
        <v>2.1</v>
      </c>
    </row>
    <row r="42" spans="2:7" x14ac:dyDescent="0.25">
      <c r="B42" s="80">
        <v>12</v>
      </c>
      <c r="C42" s="90">
        <v>8</v>
      </c>
      <c r="D42" s="91">
        <v>7.1</v>
      </c>
      <c r="E42" s="92">
        <v>6.3</v>
      </c>
      <c r="F42" s="93">
        <v>4.7</v>
      </c>
      <c r="G42" s="94">
        <v>3.3</v>
      </c>
    </row>
    <row r="43" spans="2:7" x14ac:dyDescent="0.25">
      <c r="B43" s="80">
        <v>13</v>
      </c>
      <c r="C43" s="95">
        <v>9.5</v>
      </c>
      <c r="D43" s="96">
        <v>8.5</v>
      </c>
      <c r="E43" s="97">
        <v>7.7</v>
      </c>
      <c r="F43" s="98">
        <v>6</v>
      </c>
      <c r="G43" s="99">
        <v>4.5999999999999996</v>
      </c>
    </row>
    <row r="44" spans="2:7" x14ac:dyDescent="0.25">
      <c r="B44" s="80">
        <v>14</v>
      </c>
      <c r="C44" s="100">
        <v>11</v>
      </c>
      <c r="D44" s="101">
        <v>10</v>
      </c>
      <c r="E44" s="102">
        <v>9.1</v>
      </c>
      <c r="F44" s="103">
        <v>7.4</v>
      </c>
      <c r="G44" s="104">
        <v>5.8</v>
      </c>
    </row>
    <row r="46" spans="2:7" ht="15.75" x14ac:dyDescent="0.25">
      <c r="B46" s="5" t="s">
        <v>689</v>
      </c>
    </row>
    <row r="47" spans="2:7" x14ac:dyDescent="0.25">
      <c r="B47" s="4" t="s">
        <v>55</v>
      </c>
    </row>
    <row r="48" spans="2:7" x14ac:dyDescent="0.25">
      <c r="B48" s="10" t="s">
        <v>690</v>
      </c>
    </row>
    <row r="49" spans="2:7" x14ac:dyDescent="0.25">
      <c r="B49" s="53"/>
      <c r="C49" s="79">
        <v>6.0000000000000001E-3</v>
      </c>
      <c r="D49" s="79">
        <v>8.0000000000000002E-3</v>
      </c>
      <c r="E49" s="79">
        <v>0.01</v>
      </c>
      <c r="F49" s="79">
        <v>1.4E-2</v>
      </c>
      <c r="G49" s="79">
        <v>1.7999999999999999E-2</v>
      </c>
    </row>
    <row r="50" spans="2:7" x14ac:dyDescent="0.25">
      <c r="B50" s="72">
        <v>1</v>
      </c>
      <c r="C50" s="105">
        <v>22.3</v>
      </c>
      <c r="D50" s="105">
        <v>21.5</v>
      </c>
      <c r="E50" s="105">
        <v>20.7</v>
      </c>
      <c r="F50" s="105">
        <v>19.2</v>
      </c>
      <c r="G50" s="105">
        <v>18</v>
      </c>
    </row>
    <row r="51" spans="2:7" x14ac:dyDescent="0.25">
      <c r="B51" s="72">
        <v>1.5</v>
      </c>
      <c r="C51" s="105">
        <v>28.5</v>
      </c>
      <c r="D51" s="105">
        <v>27.4</v>
      </c>
      <c r="E51" s="105">
        <v>26.4</v>
      </c>
      <c r="F51" s="105">
        <v>24.6</v>
      </c>
      <c r="G51" s="105">
        <v>23</v>
      </c>
    </row>
    <row r="52" spans="2:7" x14ac:dyDescent="0.25">
      <c r="B52" s="72">
        <v>2</v>
      </c>
      <c r="C52" s="105">
        <v>34.6</v>
      </c>
      <c r="D52" s="105">
        <v>33.4</v>
      </c>
      <c r="E52" s="106">
        <v>32.200000000000003</v>
      </c>
      <c r="F52" s="105">
        <v>30</v>
      </c>
      <c r="G52" s="105">
        <v>28.1</v>
      </c>
    </row>
    <row r="53" spans="2:7" x14ac:dyDescent="0.25">
      <c r="B53" s="72">
        <v>2.5</v>
      </c>
      <c r="C53" s="105">
        <v>40.700000000000003</v>
      </c>
      <c r="D53" s="105">
        <v>39.299999999999997</v>
      </c>
      <c r="E53" s="105">
        <v>37.9</v>
      </c>
      <c r="F53" s="105">
        <v>35.4</v>
      </c>
      <c r="G53" s="105">
        <v>33.1</v>
      </c>
    </row>
    <row r="54" spans="2:7" x14ac:dyDescent="0.25">
      <c r="B54" s="72">
        <v>3</v>
      </c>
      <c r="C54" s="105">
        <v>46.9</v>
      </c>
      <c r="D54" s="105">
        <v>45.2</v>
      </c>
      <c r="E54" s="105">
        <v>43.6</v>
      </c>
      <c r="F54" s="105">
        <v>40.799999999999997</v>
      </c>
      <c r="G54" s="105">
        <v>38.200000000000003</v>
      </c>
    </row>
    <row r="56" spans="2:7" ht="15.75" x14ac:dyDescent="0.25">
      <c r="B56" s="5" t="s">
        <v>691</v>
      </c>
    </row>
    <row r="57" spans="2:7" ht="30" customHeight="1" x14ac:dyDescent="0.25">
      <c r="B57" s="107" t="s">
        <v>692</v>
      </c>
      <c r="C57" s="108" t="s">
        <v>693</v>
      </c>
      <c r="D57" s="108" t="s">
        <v>694</v>
      </c>
      <c r="E57" s="108" t="s">
        <v>695</v>
      </c>
      <c r="F57" s="108" t="s">
        <v>696</v>
      </c>
      <c r="G57" s="108" t="s">
        <v>697</v>
      </c>
    </row>
    <row r="58" spans="2:7" x14ac:dyDescent="0.25">
      <c r="B58" s="109" t="s">
        <v>698</v>
      </c>
      <c r="C58" s="110">
        <v>6.3</v>
      </c>
      <c r="D58" s="109">
        <v>20</v>
      </c>
      <c r="E58" s="109">
        <v>24</v>
      </c>
      <c r="F58" s="109">
        <v>4</v>
      </c>
      <c r="G58" s="110">
        <v>32.200000000000003</v>
      </c>
    </row>
    <row r="59" spans="2:7" x14ac:dyDescent="0.25">
      <c r="B59" s="111" t="s">
        <v>699</v>
      </c>
      <c r="C59" s="112">
        <v>3.7</v>
      </c>
      <c r="D59" s="111">
        <v>22</v>
      </c>
      <c r="E59" s="111">
        <v>23</v>
      </c>
      <c r="F59" s="111">
        <v>1</v>
      </c>
      <c r="G59" s="112">
        <v>28.4</v>
      </c>
    </row>
    <row r="60" spans="2:7" x14ac:dyDescent="0.25">
      <c r="B60" s="111" t="s">
        <v>700</v>
      </c>
      <c r="C60" s="112">
        <v>2.5</v>
      </c>
      <c r="D60" s="111">
        <v>22</v>
      </c>
      <c r="E60" s="111">
        <v>23</v>
      </c>
      <c r="F60" s="111">
        <v>1</v>
      </c>
      <c r="G60" s="112">
        <v>26.4</v>
      </c>
    </row>
    <row r="61" spans="2:7" x14ac:dyDescent="0.25">
      <c r="B61" s="111" t="s">
        <v>701</v>
      </c>
      <c r="C61" s="112">
        <v>4.2</v>
      </c>
      <c r="D61" s="111">
        <v>21</v>
      </c>
      <c r="E61" s="111">
        <v>23</v>
      </c>
      <c r="F61" s="111">
        <v>2</v>
      </c>
      <c r="G61" s="112">
        <v>29.6</v>
      </c>
    </row>
    <row r="62" spans="2:7" x14ac:dyDescent="0.25">
      <c r="B62" s="111" t="s">
        <v>702</v>
      </c>
      <c r="C62" s="112">
        <v>3.3</v>
      </c>
      <c r="D62" s="111">
        <v>21</v>
      </c>
      <c r="E62" s="111">
        <v>23</v>
      </c>
      <c r="F62" s="111">
        <v>2</v>
      </c>
      <c r="G62" s="112">
        <v>28.1</v>
      </c>
    </row>
  </sheetData>
  <mergeCells count="1">
    <mergeCell ref="F1:G1"/>
  </mergeCells>
  <pageMargins left="0.75" right="0.75" top="1" bottom="1" header="0.5" footer="0.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9A78"/>
    <pageSetUpPr fitToPage="1"/>
  </sheetPr>
  <dimension ref="A1:F44"/>
  <sheetViews>
    <sheetView showGridLines="0" workbookViewId="0"/>
  </sheetViews>
  <sheetFormatPr defaultRowHeight="15" x14ac:dyDescent="0.25"/>
  <cols>
    <col min="1" max="1" width="5" customWidth="1"/>
    <col min="2" max="2" width="74" customWidth="1"/>
    <col min="3" max="4" width="16" customWidth="1"/>
    <col min="5" max="5" width="12" customWidth="1"/>
    <col min="6" max="6" width="44" customWidth="1"/>
  </cols>
  <sheetData>
    <row r="1" spans="1:6" ht="19.5" x14ac:dyDescent="0.3">
      <c r="A1" s="17" t="s">
        <v>703</v>
      </c>
      <c r="F1" s="2" t="s">
        <v>1</v>
      </c>
    </row>
    <row r="2" spans="1:6" x14ac:dyDescent="0.25">
      <c r="A2" s="4" t="s">
        <v>704</v>
      </c>
    </row>
    <row r="3" spans="1:6" ht="15.75" x14ac:dyDescent="0.25">
      <c r="B3" s="5" t="str">
        <f>IF(COUNTIF(E7:E18,"PASS")=12,"ALL 12 INTEGRITY CHECKS PASS","INTEGRITY FAILURES: see below")</f>
        <v>ALL 12 INTEGRITY CHECKS PASS</v>
      </c>
    </row>
    <row r="4" spans="1:6" ht="15.75" x14ac:dyDescent="0.25">
      <c r="B4" s="5" t="str">
        <f>IF(COUNTIF(E21:E23,"PASS")=3,"ALL 3 PLAN TESTS PASS",COUNTIF(E21:E23,"PASS")&amp;" OF 3 PLAN TESTS PASS: the plan needs more cash or time")</f>
        <v>ALL 3 PLAN TESTS PASS</v>
      </c>
    </row>
    <row r="6" spans="1:6" x14ac:dyDescent="0.25">
      <c r="A6" s="7" t="s">
        <v>66</v>
      </c>
      <c r="B6" s="7" t="s">
        <v>705</v>
      </c>
      <c r="C6" s="7" t="s">
        <v>32</v>
      </c>
      <c r="D6" s="7" t="s">
        <v>706</v>
      </c>
      <c r="E6" s="7" t="s">
        <v>707</v>
      </c>
      <c r="F6" s="7" t="s">
        <v>708</v>
      </c>
    </row>
    <row r="7" spans="1:6" x14ac:dyDescent="0.25">
      <c r="A7" s="21">
        <v>1</v>
      </c>
      <c r="B7" s="8" t="s">
        <v>709</v>
      </c>
      <c r="C7" s="113">
        <f>MAX(MAX('Balance Sheet'!$D$24:$BL$24),-MIN('Balance Sheet'!$D$24:$BL$24))</f>
        <v>0</v>
      </c>
      <c r="D7" s="21" t="s">
        <v>710</v>
      </c>
      <c r="E7" s="114" t="str">
        <f t="shared" ref="E7:E15" si="0">IF(ISNUMBER(C7),IF(C7&lt;=0.01,"PASS","FAIL"),"FAIL")</f>
        <v>PASS</v>
      </c>
      <c r="F7" s="10" t="s">
        <v>711</v>
      </c>
    </row>
    <row r="8" spans="1:6" x14ac:dyDescent="0.25">
      <c r="A8" s="21">
        <v>2</v>
      </c>
      <c r="B8" s="8" t="s">
        <v>712</v>
      </c>
      <c r="C8" s="113">
        <f>SUMPRODUCT(ABS('Cash Flow'!$E$23:$BL$23-'Balance Sheet'!$E$9:$BL$9))</f>
        <v>1.6135163605213165E-7</v>
      </c>
      <c r="D8" s="21" t="s">
        <v>710</v>
      </c>
      <c r="E8" s="114" t="str">
        <f t="shared" si="0"/>
        <v>PASS</v>
      </c>
      <c r="F8" s="10" t="s">
        <v>713</v>
      </c>
    </row>
    <row r="9" spans="1:6" x14ac:dyDescent="0.25">
      <c r="A9" s="21">
        <v>3</v>
      </c>
      <c r="B9" s="8" t="s">
        <v>714</v>
      </c>
      <c r="C9" s="113">
        <f>SUMPRODUCT(ABS('Cash Flow'!$E$23:$BL$23-Monthly!$E$89:$BL$89))</f>
        <v>1.6135163605213165E-7</v>
      </c>
      <c r="D9" s="21" t="s">
        <v>710</v>
      </c>
      <c r="E9" s="114" t="str">
        <f t="shared" si="0"/>
        <v>PASS</v>
      </c>
      <c r="F9" s="10" t="s">
        <v>715</v>
      </c>
    </row>
    <row r="10" spans="1:6" x14ac:dyDescent="0.25">
      <c r="A10" s="21">
        <v>4</v>
      </c>
      <c r="B10" s="8" t="s">
        <v>716</v>
      </c>
      <c r="C10" s="113">
        <f>SUMPRODUCT(ABS(Monthly!$E$46:$BL$46+Monthly!$E$47:$BL$47+Monthly!$E$48:$BL$48-Monthly!$E$49:$BL$49))</f>
        <v>0</v>
      </c>
      <c r="D10" s="21" t="s">
        <v>710</v>
      </c>
      <c r="E10" s="114" t="str">
        <f t="shared" si="0"/>
        <v>PASS</v>
      </c>
      <c r="F10" s="10"/>
    </row>
    <row r="11" spans="1:6" x14ac:dyDescent="0.25">
      <c r="A11" s="21">
        <v>5</v>
      </c>
      <c r="B11" s="8" t="s">
        <v>717</v>
      </c>
      <c r="C11" s="113">
        <f>ABS(SUM('Annual P&amp;L'!$C$18:$G$18)-SUM(Monthly!$E$49:$BL$49))</f>
        <v>1.4901161193847656E-8</v>
      </c>
      <c r="D11" s="21" t="s">
        <v>710</v>
      </c>
      <c r="E11" s="114" t="str">
        <f t="shared" si="0"/>
        <v>PASS</v>
      </c>
      <c r="F11" s="10" t="s">
        <v>718</v>
      </c>
    </row>
    <row r="12" spans="1:6" x14ac:dyDescent="0.25">
      <c r="A12" s="21">
        <v>6</v>
      </c>
      <c r="B12" s="8" t="s">
        <v>719</v>
      </c>
      <c r="C12" s="113">
        <f>ABS(SUM('Annual P&amp;L'!$C$38:$G$38)-SUM(Monthly!$E$74:$BL$74))</f>
        <v>1.862645149230957E-9</v>
      </c>
      <c r="D12" s="21" t="s">
        <v>710</v>
      </c>
      <c r="E12" s="114" t="str">
        <f t="shared" si="0"/>
        <v>PASS</v>
      </c>
      <c r="F12" s="10"/>
    </row>
    <row r="13" spans="1:6" x14ac:dyDescent="0.25">
      <c r="A13" s="21">
        <v>7</v>
      </c>
      <c r="B13" s="8" t="s">
        <v>720</v>
      </c>
      <c r="C13" s="113">
        <f>ABS(SUM('Annual P&amp;L'!$C$45:$G$45)-('Balance Sheet'!$BL$20-'Balance Sheet'!$D$20))</f>
        <v>9.3132257461547852E-10</v>
      </c>
      <c r="D13" s="21" t="s">
        <v>710</v>
      </c>
      <c r="E13" s="114" t="str">
        <f t="shared" si="0"/>
        <v>PASS</v>
      </c>
      <c r="F13" s="10" t="s">
        <v>721</v>
      </c>
    </row>
    <row r="14" spans="1:6" x14ac:dyDescent="0.25">
      <c r="A14" s="21">
        <v>8</v>
      </c>
      <c r="B14" s="8" t="s">
        <v>722</v>
      </c>
      <c r="C14" s="113">
        <f>ABS(Monthly!$BL$40-(Monthly!$D$40+SUM(Monthly!$E$35:$BL$35)-SUM(Monthly!$E$41:$BL$41)))</f>
        <v>1.3642420526593924E-12</v>
      </c>
      <c r="D14" s="21" t="s">
        <v>723</v>
      </c>
      <c r="E14" s="114" t="str">
        <f t="shared" si="0"/>
        <v>PASS</v>
      </c>
      <c r="F14" s="10"/>
    </row>
    <row r="15" spans="1:6" x14ac:dyDescent="0.25">
      <c r="A15" s="21">
        <v>9</v>
      </c>
      <c r="B15" s="8" t="s">
        <v>724</v>
      </c>
      <c r="C15" s="113">
        <f>ABS(SUM(Monthly!$E$32:$BL$32)+SUM(Monthly!$E$33:$BL$33)+SUM(Monthly!$E$34:$BL$34)-SUM(Monthly!$E$35:$BL$35))</f>
        <v>4.5474735088646412E-13</v>
      </c>
      <c r="D15" s="21" t="s">
        <v>723</v>
      </c>
      <c r="E15" s="114" t="str">
        <f t="shared" si="0"/>
        <v>PASS</v>
      </c>
      <c r="F15" s="10"/>
    </row>
    <row r="16" spans="1:6" x14ac:dyDescent="0.25">
      <c r="A16" s="21">
        <v>10</v>
      </c>
      <c r="B16" s="8" t="s">
        <v>725</v>
      </c>
      <c r="C16" s="113">
        <f>ABS(COUNT(hire_start)-Monthly!$BL$23)</f>
        <v>0</v>
      </c>
      <c r="D16" s="21" t="s">
        <v>726</v>
      </c>
      <c r="E16" s="114" t="str">
        <f>IF(ISNUMBER(C16),IF(C16&lt;=0.0001,"PASS","FAIL"),"FAIL")</f>
        <v>PASS</v>
      </c>
      <c r="F16" s="10"/>
    </row>
    <row r="17" spans="1:6" x14ac:dyDescent="0.25">
      <c r="A17" s="21">
        <v>11</v>
      </c>
      <c r="B17" s="8" t="s">
        <v>727</v>
      </c>
      <c r="C17" s="113">
        <f>ABS(SUM(Monthly!$E$88:$BL$88)-(seed_amt+a_amt*a_on))</f>
        <v>0</v>
      </c>
      <c r="D17" s="21" t="s">
        <v>710</v>
      </c>
      <c r="E17" s="114" t="str">
        <f>IF(ISNUMBER(C17),IF(C17&lt;=0.01,"PASS","FAIL"),"FAIL")</f>
        <v>PASS</v>
      </c>
      <c r="F17" s="10"/>
    </row>
    <row r="18" spans="1:6" x14ac:dyDescent="0.25">
      <c r="A18" s="21">
        <v>12</v>
      </c>
      <c r="B18" s="8" t="s">
        <v>728</v>
      </c>
      <c r="C18" s="113">
        <f>SUMPRODUCT(--ISERROR(Monthly!$D$4:$BL$97))+SUMPRODUCT(--ISERROR('Cash Flow'!$D$4:$BR$26))+SUMPRODUCT(--ISERROR('Balance Sheet'!$D$4:$BS$25))</f>
        <v>0</v>
      </c>
      <c r="D18" s="21" t="s">
        <v>726</v>
      </c>
      <c r="E18" s="114" t="str">
        <f>IF(ISNUMBER(C18),IF(C18&lt;=0.0001,"PASS","FAIL"),"FAIL")</f>
        <v>PASS</v>
      </c>
      <c r="F18" s="10"/>
    </row>
    <row r="20" spans="1:6" x14ac:dyDescent="0.25">
      <c r="A20" s="63" t="s">
        <v>66</v>
      </c>
      <c r="B20" s="63" t="s">
        <v>729</v>
      </c>
      <c r="C20" s="63" t="s">
        <v>32</v>
      </c>
      <c r="D20" s="63" t="s">
        <v>706</v>
      </c>
      <c r="E20" s="63" t="s">
        <v>707</v>
      </c>
      <c r="F20" s="63" t="s">
        <v>708</v>
      </c>
    </row>
    <row r="21" spans="1:6" x14ac:dyDescent="0.25">
      <c r="A21" s="21">
        <v>1</v>
      </c>
      <c r="B21" s="8" t="s">
        <v>730</v>
      </c>
      <c r="C21" s="113">
        <f>MIN(Monthly!$E$89:$BL$89)</f>
        <v>638505.1145233456</v>
      </c>
      <c r="D21" s="21" t="s">
        <v>731</v>
      </c>
      <c r="E21" s="114" t="str">
        <f>IF(ISNUMBER(C21),IF(C21&gt;=0,"PASS","FAIL"),"FAIL")</f>
        <v>PASS</v>
      </c>
      <c r="F21" s="10" t="s">
        <v>732</v>
      </c>
    </row>
    <row r="22" spans="1:6" x14ac:dyDescent="0.25">
      <c r="A22" s="21">
        <v>2</v>
      </c>
      <c r="B22" s="8" t="s">
        <v>733</v>
      </c>
      <c r="C22" s="113">
        <f>IF(ISNUMBER('Cash Flow'!$D$29),a_month-'Cash Flow'!$D$29,-1)</f>
        <v>1</v>
      </c>
      <c r="D22" s="21" t="s">
        <v>734</v>
      </c>
      <c r="E22" s="114" t="str">
        <f>IF(ISNUMBER(C22),IF(C22&gt;=1,"PASS","FAIL"),"FAIL")</f>
        <v>PASS</v>
      </c>
      <c r="F22" s="10" t="s">
        <v>735</v>
      </c>
    </row>
    <row r="23" spans="1:6" x14ac:dyDescent="0.25">
      <c r="A23" s="21">
        <v>3</v>
      </c>
      <c r="B23" s="8" t="s">
        <v>736</v>
      </c>
      <c r="C23" s="113">
        <f>IF(ISNUMBER('Cash Flow'!$D$40),'Cash Flow'!$D$40,99)</f>
        <v>4</v>
      </c>
      <c r="D23" s="21" t="s">
        <v>734</v>
      </c>
      <c r="E23" s="114" t="str">
        <f>IF(ISNUMBER(C23),IF(C23&gt;=1,"PASS","FAIL"),"FAIL")</f>
        <v>PASS</v>
      </c>
      <c r="F23" s="10" t="s">
        <v>737</v>
      </c>
    </row>
    <row r="25" spans="1:6" x14ac:dyDescent="0.25">
      <c r="B25" s="18" t="s">
        <v>738</v>
      </c>
    </row>
    <row r="26" spans="1:6" x14ac:dyDescent="0.25">
      <c r="A26" s="63" t="s">
        <v>66</v>
      </c>
      <c r="B26" s="63" t="s">
        <v>31</v>
      </c>
      <c r="C26" s="63" t="s">
        <v>739</v>
      </c>
      <c r="D26" s="63" t="s">
        <v>740</v>
      </c>
      <c r="E26" s="63" t="s">
        <v>707</v>
      </c>
      <c r="F26" s="63" t="s">
        <v>741</v>
      </c>
    </row>
    <row r="27" spans="1:6" x14ac:dyDescent="0.25">
      <c r="A27" s="21">
        <v>1</v>
      </c>
      <c r="B27" s="8" t="s">
        <v>36</v>
      </c>
      <c r="C27" s="52">
        <f>'Annual P&amp;L'!G18</f>
        <v>27697532.498353619</v>
      </c>
      <c r="D27" s="115">
        <v>27697532.498353619</v>
      </c>
      <c r="E27" s="114" t="str">
        <f t="shared" ref="E27:E44" si="1">IF(ISNUMBER(C27),IF(ABS(C27-D27)&lt;=MAX(0.0001,0.005*ABS(D27)),"MATCH","DIFFERS"),"DIFFERS")</f>
        <v>MATCH</v>
      </c>
      <c r="F27" s="21" t="s">
        <v>742</v>
      </c>
    </row>
    <row r="28" spans="1:6" x14ac:dyDescent="0.25">
      <c r="A28" s="21">
        <v>2</v>
      </c>
      <c r="B28" s="8" t="s">
        <v>38</v>
      </c>
      <c r="C28" s="52">
        <f>'Annual P&amp;L'!G38</f>
        <v>6260082.7088406645</v>
      </c>
      <c r="D28" s="115">
        <v>6260082.7088406617</v>
      </c>
      <c r="E28" s="114" t="str">
        <f t="shared" si="1"/>
        <v>MATCH</v>
      </c>
      <c r="F28" s="21" t="s">
        <v>743</v>
      </c>
    </row>
    <row r="29" spans="1:6" x14ac:dyDescent="0.25">
      <c r="A29" s="21">
        <v>3</v>
      </c>
      <c r="B29" s="8" t="s">
        <v>39</v>
      </c>
      <c r="C29" s="52">
        <f>'Annual P&amp;L'!G45</f>
        <v>5892981.3511764091</v>
      </c>
      <c r="D29" s="115">
        <v>5892981.3511764072</v>
      </c>
      <c r="E29" s="114" t="str">
        <f t="shared" si="1"/>
        <v>MATCH</v>
      </c>
      <c r="F29" s="21" t="s">
        <v>744</v>
      </c>
    </row>
    <row r="30" spans="1:6" x14ac:dyDescent="0.25">
      <c r="A30" s="21">
        <v>4</v>
      </c>
      <c r="B30" s="8" t="s">
        <v>41</v>
      </c>
      <c r="C30" s="52">
        <f>'Annual P&amp;L'!G48</f>
        <v>12940986.177740345</v>
      </c>
      <c r="D30" s="115">
        <v>12940986.177740339</v>
      </c>
      <c r="E30" s="114" t="str">
        <f t="shared" si="1"/>
        <v>MATCH</v>
      </c>
      <c r="F30" s="21" t="s">
        <v>745</v>
      </c>
    </row>
    <row r="31" spans="1:6" x14ac:dyDescent="0.25">
      <c r="A31" s="21">
        <v>5</v>
      </c>
      <c r="B31" s="8" t="s">
        <v>40</v>
      </c>
      <c r="C31" s="52">
        <f>'Annual P&amp;L'!G47</f>
        <v>32173345.895246241</v>
      </c>
      <c r="D31" s="115">
        <v>32173345.895246241</v>
      </c>
      <c r="E31" s="114" t="str">
        <f t="shared" si="1"/>
        <v>MATCH</v>
      </c>
      <c r="F31" s="21" t="s">
        <v>746</v>
      </c>
    </row>
    <row r="32" spans="1:6" x14ac:dyDescent="0.25">
      <c r="A32" s="21">
        <v>6</v>
      </c>
      <c r="B32" s="8" t="s">
        <v>42</v>
      </c>
      <c r="C32" s="49">
        <f>'Annual P&amp;L'!G9</f>
        <v>1364.0770391016931</v>
      </c>
      <c r="D32" s="116">
        <v>1364.0770391016929</v>
      </c>
      <c r="E32" s="114" t="str">
        <f t="shared" si="1"/>
        <v>MATCH</v>
      </c>
      <c r="F32" s="21" t="s">
        <v>747</v>
      </c>
    </row>
    <row r="33" spans="1:6" x14ac:dyDescent="0.25">
      <c r="A33" s="21">
        <v>7</v>
      </c>
      <c r="B33" s="8" t="s">
        <v>748</v>
      </c>
      <c r="C33" s="45">
        <f>'Annual P&amp;L'!G12</f>
        <v>128618.2589176152</v>
      </c>
      <c r="D33" s="117">
        <v>128618.2589176152</v>
      </c>
      <c r="E33" s="114" t="str">
        <f t="shared" si="1"/>
        <v>MATCH</v>
      </c>
      <c r="F33" s="21" t="s">
        <v>749</v>
      </c>
    </row>
    <row r="34" spans="1:6" x14ac:dyDescent="0.25">
      <c r="A34" s="21">
        <v>8</v>
      </c>
      <c r="B34" s="8" t="s">
        <v>37</v>
      </c>
      <c r="C34" s="67">
        <f>'Annual P&amp;L'!G31</f>
        <v>0.81258263579611223</v>
      </c>
      <c r="D34" s="118">
        <v>0.81258263579611245</v>
      </c>
      <c r="E34" s="114" t="str">
        <f t="shared" si="1"/>
        <v>MATCH</v>
      </c>
      <c r="F34" s="21" t="s">
        <v>750</v>
      </c>
    </row>
    <row r="35" spans="1:6" x14ac:dyDescent="0.25">
      <c r="A35" s="21">
        <v>9</v>
      </c>
      <c r="B35" s="8" t="s">
        <v>751</v>
      </c>
      <c r="C35" s="52">
        <f>'Annual P&amp;L'!D50</f>
        <v>11291.926255562619</v>
      </c>
      <c r="D35" s="115">
        <v>11291.926255562619</v>
      </c>
      <c r="E35" s="114" t="str">
        <f t="shared" si="1"/>
        <v>MATCH</v>
      </c>
      <c r="F35" s="21" t="s">
        <v>752</v>
      </c>
    </row>
    <row r="36" spans="1:6" x14ac:dyDescent="0.25">
      <c r="A36" s="21">
        <v>10</v>
      </c>
      <c r="B36" s="8" t="s">
        <v>753</v>
      </c>
      <c r="C36" s="59">
        <f>'Cash Flow'!$D$29</f>
        <v>20</v>
      </c>
      <c r="D36" s="65">
        <v>20</v>
      </c>
      <c r="E36" s="114" t="str">
        <f t="shared" si="1"/>
        <v>MATCH</v>
      </c>
      <c r="F36" s="21" t="s">
        <v>754</v>
      </c>
    </row>
    <row r="37" spans="1:6" x14ac:dyDescent="0.25">
      <c r="A37" s="21">
        <v>11</v>
      </c>
      <c r="B37" s="8" t="s">
        <v>592</v>
      </c>
      <c r="C37" s="52">
        <f>'Cash Flow'!$D$31</f>
        <v>3029615.105100614</v>
      </c>
      <c r="D37" s="115">
        <v>3029615.105100614</v>
      </c>
      <c r="E37" s="114" t="str">
        <f t="shared" si="1"/>
        <v>MATCH</v>
      </c>
      <c r="F37" s="21" t="s">
        <v>755</v>
      </c>
    </row>
    <row r="38" spans="1:6" x14ac:dyDescent="0.25">
      <c r="A38" s="21">
        <v>12</v>
      </c>
      <c r="B38" s="8" t="s">
        <v>593</v>
      </c>
      <c r="C38" s="49">
        <f>'Cash Flow'!$D$32</f>
        <v>163.34307914433955</v>
      </c>
      <c r="D38" s="116">
        <v>163.34307914433961</v>
      </c>
      <c r="E38" s="114" t="str">
        <f t="shared" si="1"/>
        <v>MATCH</v>
      </c>
      <c r="F38" s="21" t="s">
        <v>756</v>
      </c>
    </row>
    <row r="39" spans="1:6" x14ac:dyDescent="0.25">
      <c r="A39" s="21">
        <v>13</v>
      </c>
      <c r="B39" s="8" t="s">
        <v>44</v>
      </c>
      <c r="C39" s="52">
        <f>'Cash Flow'!$D$37</f>
        <v>638505.1145233456</v>
      </c>
      <c r="D39" s="115">
        <v>638505.1145233456</v>
      </c>
      <c r="E39" s="114" t="str">
        <f t="shared" si="1"/>
        <v>MATCH</v>
      </c>
      <c r="F39" s="21" t="s">
        <v>757</v>
      </c>
    </row>
    <row r="40" spans="1:6" x14ac:dyDescent="0.25">
      <c r="A40" s="21">
        <v>14</v>
      </c>
      <c r="B40" s="8" t="s">
        <v>45</v>
      </c>
      <c r="C40" s="59">
        <f>'Cash Flow'!$D$39</f>
        <v>24</v>
      </c>
      <c r="D40" s="65">
        <v>24</v>
      </c>
      <c r="E40" s="114" t="str">
        <f t="shared" si="1"/>
        <v>MATCH</v>
      </c>
      <c r="F40" s="21" t="s">
        <v>758</v>
      </c>
    </row>
    <row r="41" spans="1:6" x14ac:dyDescent="0.25">
      <c r="A41" s="21">
        <v>15</v>
      </c>
      <c r="B41" s="8" t="s">
        <v>759</v>
      </c>
      <c r="C41" s="59">
        <f>'Cash Flow'!$D$43</f>
        <v>40</v>
      </c>
      <c r="D41" s="65">
        <v>40</v>
      </c>
      <c r="E41" s="114" t="str">
        <f t="shared" si="1"/>
        <v>MATCH</v>
      </c>
      <c r="F41" s="21" t="s">
        <v>760</v>
      </c>
    </row>
    <row r="42" spans="1:6" x14ac:dyDescent="0.25">
      <c r="A42" s="21">
        <v>16</v>
      </c>
      <c r="B42" s="8" t="s">
        <v>47</v>
      </c>
      <c r="C42" s="68">
        <f>'Unit Economics'!$B$17</f>
        <v>8.1968553826530979</v>
      </c>
      <c r="D42" s="119">
        <v>8.1968553826530979</v>
      </c>
      <c r="E42" s="114" t="str">
        <f t="shared" si="1"/>
        <v>MATCH</v>
      </c>
      <c r="F42" s="21" t="s">
        <v>761</v>
      </c>
    </row>
    <row r="43" spans="1:6" x14ac:dyDescent="0.25">
      <c r="A43" s="21">
        <v>17</v>
      </c>
      <c r="B43" s="8" t="s">
        <v>48</v>
      </c>
      <c r="C43" s="69">
        <f>'Unit Economics'!$B$19</f>
        <v>5.5245985987209894</v>
      </c>
      <c r="D43" s="120">
        <v>5.5245985987209849</v>
      </c>
      <c r="E43" s="114" t="str">
        <f t="shared" si="1"/>
        <v>MATCH</v>
      </c>
      <c r="F43" s="21" t="s">
        <v>762</v>
      </c>
    </row>
    <row r="44" spans="1:6" x14ac:dyDescent="0.25">
      <c r="A44" s="21">
        <v>18</v>
      </c>
      <c r="B44" s="8" t="s">
        <v>763</v>
      </c>
      <c r="C44" s="52">
        <f>'Unit Economics'!$B$32</f>
        <v>361206720</v>
      </c>
      <c r="D44" s="115">
        <v>361206720</v>
      </c>
      <c r="E44" s="114" t="str">
        <f t="shared" si="1"/>
        <v>MATCH</v>
      </c>
      <c r="F44" s="21" t="s">
        <v>764</v>
      </c>
    </row>
  </sheetData>
  <conditionalFormatting sqref="E7:E18">
    <cfRule type="cellIs" dxfId="9" priority="1" operator="equal">
      <formula>"PASS"</formula>
    </cfRule>
    <cfRule type="cellIs" dxfId="8" priority="2" operator="equal">
      <formula>"FAIL"</formula>
    </cfRule>
  </conditionalFormatting>
  <conditionalFormatting sqref="E21:E23">
    <cfRule type="cellIs" dxfId="7" priority="3" operator="equal">
      <formula>"PASS"</formula>
    </cfRule>
    <cfRule type="cellIs" dxfId="6" priority="4" operator="equal">
      <formula>"FAIL"</formula>
    </cfRule>
  </conditionalFormatting>
  <conditionalFormatting sqref="B3">
    <cfRule type="expression" dxfId="5" priority="5">
      <formula>COUNTIF(E7:E18,"PASS")=12</formula>
    </cfRule>
    <cfRule type="expression" dxfId="4" priority="6">
      <formula>COUNTIF(E7:E18,"PASS")&lt;12</formula>
    </cfRule>
  </conditionalFormatting>
  <conditionalFormatting sqref="B4">
    <cfRule type="expression" dxfId="3" priority="7">
      <formula>COUNTIF(E21:E23,"PASS")=3</formula>
    </cfRule>
    <cfRule type="expression" dxfId="2" priority="8">
      <formula>COUNTIF(E21:E23,"PASS")&lt;3</formula>
    </cfRule>
  </conditionalFormatting>
  <conditionalFormatting sqref="E27:E44">
    <cfRule type="cellIs" dxfId="1" priority="9" operator="equal">
      <formula>"MATCH"</formula>
    </cfRule>
    <cfRule type="cellIs" dxfId="0" priority="10" operator="equal">
      <formula>"DIFFERS"</formula>
    </cfRule>
  </conditionalFormatting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118</vt:i4>
      </vt:variant>
    </vt:vector>
  </HeadingPairs>
  <TitlesOfParts>
    <vt:vector size="127" baseType="lpstr">
      <vt:lpstr>README</vt:lpstr>
      <vt:lpstr>Assumptions</vt:lpstr>
      <vt:lpstr>Monthly</vt:lpstr>
      <vt:lpstr>Annual P&amp;L</vt:lpstr>
      <vt:lpstr>Cash Flow</vt:lpstr>
      <vt:lpstr>Balance Sheet</vt:lpstr>
      <vt:lpstr>Unit Economics</vt:lpstr>
      <vt:lpstr>Sensitivity</vt:lpstr>
      <vt:lpstr>Checks</vt:lpstr>
      <vt:lpstr>a_amt</vt:lpstr>
      <vt:lpstr>a_month</vt:lpstr>
      <vt:lpstr>a_on</vt:lpstr>
      <vt:lpstr>ag_open_book</vt:lpstr>
      <vt:lpstr>ap_days</vt:lpstr>
      <vt:lpstr>ap_open</vt:lpstr>
      <vt:lpstr>ar_days</vt:lpstr>
      <vt:lpstr>ar_open</vt:lpstr>
      <vt:lpstr>cac_year</vt:lpstr>
      <vt:lpstr>capex_per_hire</vt:lpstr>
      <vt:lpstr>cash_open</vt:lpstr>
      <vt:lpstr>cg_growth</vt:lpstr>
      <vt:lpstr>cg_open_book</vt:lpstr>
      <vt:lpstr>cg_per_new</vt:lpstr>
      <vt:lpstr>channel_base</vt:lpstr>
      <vt:lpstr>channel_slope</vt:lpstr>
      <vt:lpstr>channel_start</vt:lpstr>
      <vt:lpstr>churn</vt:lpstr>
      <vt:lpstr>closes_per_ae</vt:lpstr>
      <vt:lpstr>deficit_open</vt:lpstr>
      <vt:lpstr>dep_months</vt:lpstr>
      <vt:lpstr>exit_high</vt:lpstr>
      <vt:lpstr>exit_low</vt:lpstr>
      <vt:lpstr>exit_mid</vt:lpstr>
      <vt:lpstr>exit_stake</vt:lpstr>
      <vt:lpstr>fact_boomer_age</vt:lpstr>
      <vt:lpstr>fact_boomer_year</vt:lpstr>
      <vt:lpstr>fact_evv_hh_year</vt:lpstr>
      <vt:lpstr>fact_turnover</vt:lpstr>
      <vt:lpstr>fact_turnover_year</vt:lpstr>
      <vt:lpstr>fee_price</vt:lpstr>
      <vt:lpstr>fee_step</vt:lpstr>
      <vt:lpstr>fill_cap</vt:lpstr>
      <vt:lpstr>fill_start</vt:lpstr>
      <vt:lpstr>fill_step</vt:lpstr>
      <vt:lpstr>founder_end1</vt:lpstr>
      <vt:lpstr>founder_end2</vt:lpstr>
      <vt:lpstr>founder_end3</vt:lpstr>
      <vt:lpstr>founder_r1</vt:lpstr>
      <vt:lpstr>founder_r2</vt:lpstr>
      <vt:lpstr>founder_r3</vt:lpstr>
      <vt:lpstr>ga_fixed</vt:lpstr>
      <vt:lpstr>gate_ag</vt:lpstr>
      <vt:lpstr>gate_arr</vt:lpstr>
      <vt:lpstr>hire_func</vt:lpstr>
      <vt:lpstr>hire_qstart</vt:lpstr>
      <vt:lpstr>hire_region</vt:lpstr>
      <vt:lpstr>hire_start</vt:lpstr>
      <vt:lpstr>hire_weight</vt:lpstr>
      <vt:lpstr>hosting_cg</vt:lpstr>
      <vt:lpstr>inbound_base</vt:lpstr>
      <vt:lpstr>inbound_slope</vt:lpstr>
      <vt:lpstr>interest_rate</vt:lpstr>
      <vt:lpstr>launch_eu</vt:lpstr>
      <vt:lpstr>launch_uk</vt:lpstr>
      <vt:lpstr>launch_us</vt:lpstr>
      <vt:lpstr>ltv_months</vt:lpstr>
      <vt:lpstr>mkt_band_max</vt:lpstr>
      <vt:lpstr>mkt_band_min</vt:lpstr>
      <vt:lpstr>mkt_cg</vt:lpstr>
      <vt:lpstr>mkt_eu</vt:lpstr>
      <vt:lpstr>mkt_fixed</vt:lpstr>
      <vt:lpstr>mkt_per_new</vt:lpstr>
      <vt:lpstr>mkt_uk</vt:lpstr>
      <vt:lpstr>mkt_us</vt:lpstr>
      <vt:lpstr>mkt_us_count_high</vt:lpstr>
      <vt:lpstr>mkt_us_count_low</vt:lpstr>
      <vt:lpstr>msg_shift</vt:lpstr>
      <vt:lpstr>nol_cap_pct</vt:lpstr>
      <vt:lpstr>nol_open</vt:lpstr>
      <vt:lpstr>onb_fee</vt:lpstr>
      <vt:lpstr>onb_rate_step</vt:lpstr>
      <vt:lpstr>onb_rate0</vt:lpstr>
      <vt:lpstr>oncost_pct</vt:lpstr>
      <vt:lpstr>open_rate</vt:lpstr>
      <vt:lpstr>pa_cg</vt:lpstr>
      <vt:lpstr>pa_cov</vt:lpstr>
      <vt:lpstr>pa_hours</vt:lpstr>
      <vt:lpstr>pa_rate</vt:lpstr>
      <vt:lpstr>paidin_open</vt:lpstr>
      <vt:lpstr>pay_proc_pct</vt:lpstr>
      <vt:lpstr>per_head_cost</vt:lpstr>
      <vt:lpstr>pilot_cov_after</vt:lpstr>
      <vt:lpstr>pilot_cov_before</vt:lpstr>
      <vt:lpstr>pilot_drop_after</vt:lpstr>
      <vt:lpstr>pilot_drop_before</vt:lpstr>
      <vt:lpstr>pilot_fill_after</vt:lpstr>
      <vt:lpstr>pilot_fill_before</vt:lpstr>
      <vt:lpstr>pilot_golive</vt:lpstr>
      <vt:lpstr>pilot_lost</vt:lpstr>
      <vt:lpstr>pilot_months</vt:lpstr>
      <vt:lpstr>pilot_sched_after</vt:lpstr>
      <vt:lpstr>pilot_sched_before</vt:lpstr>
      <vt:lpstr>pilot_states</vt:lpstr>
      <vt:lpstr>preseed_amt</vt:lpstr>
      <vt:lpstr>process_lead</vt:lpstr>
      <vt:lpstr>raise_pct</vt:lpstr>
      <vt:lpstr>ramp_months</vt:lpstr>
      <vt:lpstr>sal_cs</vt:lpstr>
      <vt:lpstr>sal_eng</vt:lpstr>
      <vt:lpstr>sal_ga</vt:lpstr>
      <vt:lpstr>sal_mkt</vt:lpstr>
      <vt:lpstr>sal_sales</vt:lpstr>
      <vt:lpstr>sec_monthly</vt:lpstr>
      <vt:lpstr>sec_start</vt:lpstr>
      <vt:lpstr>seed_amt</vt:lpstr>
      <vt:lpstr>seed_month</vt:lpstr>
      <vt:lpstr>shifts_per_cg</vt:lpstr>
      <vt:lpstr>soc1_cost</vt:lpstr>
      <vt:lpstr>soc1_month</vt:lpstr>
      <vt:lpstr>soc2_cost</vt:lpstr>
      <vt:lpstr>soc2_month</vt:lpstr>
      <vt:lpstr>start_year</vt:lpstr>
      <vt:lpstr>sub_price</vt:lpstr>
      <vt:lpstr>sub_price_step</vt:lpstr>
      <vt:lpstr>support_ag</vt:lpstr>
      <vt:lpstr>tax_rate</vt:lpstr>
      <vt:lpstr>ue_month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2026-10-21T01:45:20Z</dcterms:created>
  <dcterms:modified xsi:type="dcterms:W3CDTF">2026-10-21T01:45:21Z</dcterms:modified>
</cp:coreProperties>
</file>